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direzione-amministrativa\Direzione di Ragioneria\BachecaG\BIL25\Chiusura\CONSUNTIVO DOCUMENTO FINALE\MODIFICHE BILANCIO\supporto\"/>
    </mc:Choice>
  </mc:AlternateContent>
  <xr:revisionPtr revIDLastSave="0" documentId="13_ncr:1_{56DC7B84-D231-4CBA-8272-CAD0D709A1CD}" xr6:coauthVersionLast="47" xr6:coauthVersionMax="47" xr10:uidLastSave="{00000000-0000-0000-0000-000000000000}"/>
  <bookViews>
    <workbookView xWindow="-120" yWindow="-120" windowWidth="29040" windowHeight="15840" tabRatio="815" activeTab="1" xr2:uid="{00000000-000D-0000-FFFF-FFFF00000000}"/>
  </bookViews>
  <sheets>
    <sheet name="Schema CE" sheetId="1" r:id="rId1"/>
    <sheet name="CE Min" sheetId="4" r:id="rId2"/>
    <sheet name="Alimentazione CE Costi" sheetId="3" r:id="rId3"/>
    <sheet name="Alimentazione CE Ricavi" sheetId="2" r:id="rId4"/>
    <sheet name="Schema SP" sheetId="23" r:id="rId5"/>
    <sheet name="SP Min" sheetId="24" r:id="rId6"/>
    <sheet name="SP Attivo Alim" sheetId="25" r:id="rId7"/>
    <sheet name="Alimentazione SP P" sheetId="26" r:id="rId8"/>
    <sheet name="Rendiconto finanziario" sheetId="27" r:id="rId9"/>
    <sheet name="ce art. 44" sheetId="17" state="hidden" r:id="rId10"/>
  </sheets>
  <definedNames>
    <definedName name="_xlnm._FilterDatabase" localSheetId="2" hidden="1">'Alimentazione CE Costi'!$A$2:$N$1048</definedName>
    <definedName name="_xlnm._FilterDatabase" localSheetId="3" hidden="1">'Alimentazione CE Ricavi'!$A$2:$CS$273</definedName>
    <definedName name="_xlnm._FilterDatabase" localSheetId="7" hidden="1">'Alimentazione SP P'!$A$2:$M$315</definedName>
    <definedName name="_xlnm._FilterDatabase" localSheetId="6" hidden="1">'SP Attivo Alim'!$A$2:$N$260</definedName>
    <definedName name="_xlnm._FilterDatabase" localSheetId="5" hidden="1">'SP Min'!$A$29:$WVU$346</definedName>
    <definedName name="_xlnm.Print_Area" localSheetId="9">'ce art. 44'!$A$3:$C$58</definedName>
    <definedName name="_xlnm.Print_Area" localSheetId="1">'CE Min'!$A$1:$AC$587</definedName>
    <definedName name="_xlnm.Print_Area" localSheetId="8">'Rendiconto finanziario'!$A$1:$D$115</definedName>
    <definedName name="_xlnm.Print_Area" localSheetId="4">'Schema SP'!$A$1:$L$167</definedName>
    <definedName name="_xlnm.Print_Area" localSheetId="5">'SP Min'!$A$1:$AB$360</definedName>
    <definedName name="_xlnm.Print_Titles" localSheetId="2">'Alimentazione CE Costi'!$1:$2</definedName>
    <definedName name="_xlnm.Print_Titles" localSheetId="3">'Alimentazione CE Ricavi'!$1:$2</definedName>
    <definedName name="_xlnm.Print_Titles" localSheetId="7">'Alimentazione SP P'!$1:$2</definedName>
    <definedName name="_xlnm.Print_Titles" localSheetId="1">'CE Min'!$24:$24</definedName>
    <definedName name="_xlnm.Print_Titles" localSheetId="0">'Schema CE'!$2:$5</definedName>
    <definedName name="_xlnm.Print_Titles" localSheetId="4">'Schema SP'!$3:$4</definedName>
    <definedName name="_xlnm.Print_Titles" localSheetId="6">'SP Attivo Alim'!$1:$2</definedName>
    <definedName name="_xlnm.Print_Titles" localSheetId="5">'SP Min'!$29:$29</definedName>
  </definedNames>
  <calcPr calcId="181029"/>
</workbook>
</file>

<file path=xl/calcChain.xml><?xml version="1.0" encoding="utf-8"?>
<calcChain xmlns="http://schemas.openxmlformats.org/spreadsheetml/2006/main">
  <c r="K167" i="24" l="1"/>
  <c r="D167" i="24"/>
  <c r="I82" i="23" l="1"/>
  <c r="I83" i="23"/>
  <c r="G61" i="23"/>
  <c r="G60" i="23" s="1"/>
  <c r="G59" i="23" s="1"/>
  <c r="G58" i="23" s="1"/>
  <c r="H72" i="23"/>
  <c r="G72" i="23"/>
  <c r="H66" i="23"/>
  <c r="G66" i="23"/>
  <c r="H60" i="23"/>
  <c r="H59" i="23" s="1"/>
  <c r="G48" i="23"/>
  <c r="H48" i="23"/>
  <c r="H52" i="23"/>
  <c r="H51" i="23"/>
  <c r="G52" i="23"/>
  <c r="H58" i="23" l="1"/>
  <c r="H47" i="23"/>
  <c r="H46" i="23" s="1"/>
  <c r="G47" i="23"/>
  <c r="G46" i="23" s="1"/>
  <c r="C11" i="27" l="1"/>
  <c r="C10" i="27"/>
  <c r="D115" i="27"/>
  <c r="E105" i="1" l="1"/>
  <c r="E74" i="1"/>
  <c r="E52" i="1"/>
  <c r="E30" i="1"/>
  <c r="K556" i="3"/>
  <c r="K557" i="3"/>
  <c r="K558" i="3"/>
  <c r="K559" i="3"/>
  <c r="K560" i="3"/>
  <c r="K561" i="3"/>
  <c r="K562" i="3"/>
  <c r="K563" i="3"/>
  <c r="K564" i="3"/>
  <c r="K565" i="3"/>
  <c r="K566" i="3"/>
  <c r="K555" i="3"/>
  <c r="K543" i="3"/>
  <c r="K544" i="3"/>
  <c r="K545" i="3"/>
  <c r="K546" i="3"/>
  <c r="K547" i="3"/>
  <c r="K548" i="3"/>
  <c r="K549" i="3"/>
  <c r="K550" i="3"/>
  <c r="K551" i="3"/>
  <c r="K552" i="3"/>
  <c r="K553" i="3"/>
  <c r="K542" i="3"/>
  <c r="L271" i="2"/>
  <c r="L272" i="2"/>
  <c r="E245" i="24" l="1"/>
  <c r="D245" i="24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6" i="2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E469" i="4"/>
  <c r="N6" i="3"/>
  <c r="C93" i="27"/>
  <c r="C90" i="27"/>
  <c r="C87" i="27"/>
  <c r="C79" i="27"/>
  <c r="C70" i="27"/>
  <c r="C64" i="27"/>
  <c r="E346" i="24"/>
  <c r="J166" i="23" s="1"/>
  <c r="D346" i="24"/>
  <c r="E345" i="24"/>
  <c r="D345" i="24"/>
  <c r="E344" i="24"/>
  <c r="J165" i="23" s="1"/>
  <c r="D344" i="24"/>
  <c r="I165" i="23" s="1"/>
  <c r="E343" i="24"/>
  <c r="J164" i="23" s="1"/>
  <c r="L164" i="23" s="1"/>
  <c r="D343" i="24"/>
  <c r="I164" i="23" s="1"/>
  <c r="E342" i="24"/>
  <c r="E341" i="24" s="1"/>
  <c r="D342" i="24"/>
  <c r="I163" i="23" s="1"/>
  <c r="E339" i="24"/>
  <c r="D339" i="24"/>
  <c r="E338" i="24"/>
  <c r="D338" i="24"/>
  <c r="E337" i="24"/>
  <c r="E336" i="24" s="1"/>
  <c r="J158" i="23" s="1"/>
  <c r="D337" i="24"/>
  <c r="D336" i="24" s="1"/>
  <c r="I158" i="23" s="1"/>
  <c r="E335" i="24"/>
  <c r="D335" i="24"/>
  <c r="E334" i="24"/>
  <c r="D334" i="24"/>
  <c r="E331" i="24"/>
  <c r="D331" i="24"/>
  <c r="E330" i="24"/>
  <c r="D330" i="24"/>
  <c r="E329" i="24"/>
  <c r="D329" i="24"/>
  <c r="E328" i="24"/>
  <c r="D328" i="24"/>
  <c r="I152" i="23" s="1"/>
  <c r="E326" i="24"/>
  <c r="D326" i="24"/>
  <c r="I153" i="23" s="1"/>
  <c r="E325" i="24"/>
  <c r="J151" i="23" s="1"/>
  <c r="D325" i="24"/>
  <c r="I151" i="23" s="1"/>
  <c r="E324" i="24"/>
  <c r="D324" i="24"/>
  <c r="E323" i="24"/>
  <c r="D323" i="24"/>
  <c r="E322" i="24"/>
  <c r="E321" i="24" s="1"/>
  <c r="D322" i="24"/>
  <c r="E320" i="24"/>
  <c r="D320" i="24"/>
  <c r="E319" i="24"/>
  <c r="D319" i="24"/>
  <c r="E316" i="24"/>
  <c r="D316" i="24"/>
  <c r="E315" i="24"/>
  <c r="D315" i="24"/>
  <c r="E314" i="24"/>
  <c r="D314" i="24"/>
  <c r="E312" i="24"/>
  <c r="D312" i="24"/>
  <c r="E311" i="24"/>
  <c r="D311" i="24"/>
  <c r="E310" i="24"/>
  <c r="D310" i="24"/>
  <c r="E309" i="24"/>
  <c r="D309" i="24"/>
  <c r="E308" i="24"/>
  <c r="D308" i="24"/>
  <c r="E306" i="24"/>
  <c r="J147" i="23" s="1"/>
  <c r="D306" i="24"/>
  <c r="I147" i="23" s="1"/>
  <c r="E305" i="24"/>
  <c r="D305" i="24"/>
  <c r="E304" i="24"/>
  <c r="D304" i="24"/>
  <c r="E303" i="24"/>
  <c r="D303" i="24"/>
  <c r="E302" i="24"/>
  <c r="J145" i="23" s="1"/>
  <c r="D302" i="24"/>
  <c r="E301" i="24"/>
  <c r="D301" i="24"/>
  <c r="E300" i="24"/>
  <c r="D300" i="24"/>
  <c r="E299" i="24"/>
  <c r="D299" i="24"/>
  <c r="E298" i="24"/>
  <c r="J143" i="23" s="1"/>
  <c r="L143" i="23" s="1"/>
  <c r="D298" i="24"/>
  <c r="I143" i="23" s="1"/>
  <c r="E297" i="24"/>
  <c r="D297" i="24"/>
  <c r="E294" i="24"/>
  <c r="J140" i="23" s="1"/>
  <c r="L140" i="23" s="1"/>
  <c r="D294" i="24"/>
  <c r="I140" i="23" s="1"/>
  <c r="E293" i="24"/>
  <c r="D293" i="24"/>
  <c r="E292" i="24"/>
  <c r="D292" i="24"/>
  <c r="E291" i="24"/>
  <c r="D291" i="24"/>
  <c r="E290" i="24"/>
  <c r="D290" i="24"/>
  <c r="E289" i="24"/>
  <c r="D289" i="24"/>
  <c r="E288" i="24"/>
  <c r="D288" i="24"/>
  <c r="E287" i="24"/>
  <c r="D287" i="24"/>
  <c r="E286" i="24"/>
  <c r="D286" i="24"/>
  <c r="E285" i="24"/>
  <c r="D285" i="24"/>
  <c r="E284" i="24"/>
  <c r="D284" i="24"/>
  <c r="E282" i="24"/>
  <c r="D282" i="24"/>
  <c r="E281" i="24"/>
  <c r="D281" i="24"/>
  <c r="E280" i="24"/>
  <c r="D280" i="24"/>
  <c r="E279" i="24"/>
  <c r="D279" i="24"/>
  <c r="E278" i="24"/>
  <c r="D278" i="24"/>
  <c r="E276" i="24"/>
  <c r="D276" i="24"/>
  <c r="I137" i="23" s="1"/>
  <c r="E274" i="24"/>
  <c r="D274" i="24"/>
  <c r="E273" i="24"/>
  <c r="J133" i="23" s="1"/>
  <c r="L133" i="23" s="1"/>
  <c r="D273" i="24"/>
  <c r="E272" i="24"/>
  <c r="D272" i="24"/>
  <c r="I132" i="23" s="1"/>
  <c r="E270" i="24"/>
  <c r="D270" i="24"/>
  <c r="E269" i="24"/>
  <c r="D269" i="24"/>
  <c r="E268" i="24"/>
  <c r="D268" i="24"/>
  <c r="E267" i="24"/>
  <c r="D267" i="24"/>
  <c r="E266" i="24"/>
  <c r="E265" i="24" s="1"/>
  <c r="E263" i="24" s="1"/>
  <c r="J129" i="23" s="1"/>
  <c r="D266" i="24"/>
  <c r="D265" i="24" s="1"/>
  <c r="D263" i="24" s="1"/>
  <c r="I129" i="23" s="1"/>
  <c r="E264" i="24"/>
  <c r="D264" i="24"/>
  <c r="E262" i="24"/>
  <c r="D262" i="24"/>
  <c r="E261" i="24"/>
  <c r="D261" i="24"/>
  <c r="E260" i="24"/>
  <c r="D260" i="24"/>
  <c r="E259" i="24"/>
  <c r="D259" i="24"/>
  <c r="E258" i="24"/>
  <c r="D258" i="24"/>
  <c r="E256" i="24"/>
  <c r="D256" i="24"/>
  <c r="E255" i="24"/>
  <c r="D255" i="24"/>
  <c r="E254" i="24"/>
  <c r="D254" i="24"/>
  <c r="E253" i="24"/>
  <c r="D253" i="24"/>
  <c r="E252" i="24"/>
  <c r="D252" i="24"/>
  <c r="E251" i="24"/>
  <c r="D251" i="24"/>
  <c r="E250" i="24"/>
  <c r="D250" i="24"/>
  <c r="E249" i="24"/>
  <c r="D249" i="24"/>
  <c r="E247" i="24"/>
  <c r="D247" i="24"/>
  <c r="E246" i="24"/>
  <c r="D246" i="24"/>
  <c r="E244" i="24"/>
  <c r="D244" i="24"/>
  <c r="E243" i="24"/>
  <c r="D243" i="24"/>
  <c r="E242" i="24"/>
  <c r="D242" i="24"/>
  <c r="E241" i="24"/>
  <c r="D241" i="24"/>
  <c r="E239" i="24"/>
  <c r="D239" i="24"/>
  <c r="E237" i="24"/>
  <c r="J122" i="23" s="1"/>
  <c r="D237" i="24"/>
  <c r="I122" i="23" s="1"/>
  <c r="E236" i="24"/>
  <c r="J121" i="23" s="1"/>
  <c r="L121" i="23" s="1"/>
  <c r="D236" i="24"/>
  <c r="E235" i="24"/>
  <c r="D235" i="24"/>
  <c r="E234" i="24"/>
  <c r="D234" i="24"/>
  <c r="E233" i="24"/>
  <c r="D233" i="24"/>
  <c r="E231" i="24"/>
  <c r="D231" i="24"/>
  <c r="E230" i="24"/>
  <c r="D230" i="24"/>
  <c r="E229" i="24"/>
  <c r="D229" i="24"/>
  <c r="E228" i="24"/>
  <c r="D228" i="24"/>
  <c r="E227" i="24"/>
  <c r="D227" i="24"/>
  <c r="E225" i="24"/>
  <c r="J118" i="23" s="1"/>
  <c r="D225" i="24"/>
  <c r="E224" i="24"/>
  <c r="J117" i="23" s="1"/>
  <c r="D224" i="24"/>
  <c r="E223" i="24"/>
  <c r="J116" i="23" s="1"/>
  <c r="D223" i="24"/>
  <c r="I116" i="23" s="1"/>
  <c r="E222" i="24"/>
  <c r="J115" i="23" s="1"/>
  <c r="D222" i="24"/>
  <c r="I115" i="23" s="1"/>
  <c r="E221" i="24"/>
  <c r="J114" i="23" s="1"/>
  <c r="D221" i="24"/>
  <c r="I114" i="23" s="1"/>
  <c r="E220" i="24"/>
  <c r="J113" i="23" s="1"/>
  <c r="D220" i="24"/>
  <c r="I113" i="23" s="1"/>
  <c r="E219" i="24"/>
  <c r="J112" i="23" s="1"/>
  <c r="D219" i="24"/>
  <c r="I112" i="23" s="1"/>
  <c r="E217" i="24"/>
  <c r="J110" i="23" s="1"/>
  <c r="D217" i="24"/>
  <c r="E215" i="24"/>
  <c r="J108" i="23" s="1"/>
  <c r="D215" i="24"/>
  <c r="I108" i="23" s="1"/>
  <c r="E213" i="24"/>
  <c r="J97" i="23" s="1"/>
  <c r="D213" i="24"/>
  <c r="E212" i="24"/>
  <c r="D212" i="24"/>
  <c r="E211" i="24"/>
  <c r="J96" i="23" s="1"/>
  <c r="D211" i="24"/>
  <c r="E210" i="24"/>
  <c r="D210" i="24"/>
  <c r="E209" i="24"/>
  <c r="D209" i="24"/>
  <c r="E206" i="24"/>
  <c r="D206" i="24"/>
  <c r="E205" i="24"/>
  <c r="D205" i="24"/>
  <c r="E203" i="24"/>
  <c r="D203" i="24"/>
  <c r="E202" i="24"/>
  <c r="E201" i="24" s="1"/>
  <c r="D202" i="24"/>
  <c r="E199" i="24"/>
  <c r="J85" i="23" s="1"/>
  <c r="D199" i="24"/>
  <c r="I85" i="23" s="1"/>
  <c r="K85" i="23" s="1"/>
  <c r="E198" i="24"/>
  <c r="D198" i="24"/>
  <c r="I84" i="23" s="1"/>
  <c r="E197" i="24"/>
  <c r="J83" i="23" s="1"/>
  <c r="D197" i="24"/>
  <c r="E196" i="24"/>
  <c r="D196" i="24"/>
  <c r="E194" i="24"/>
  <c r="D194" i="24"/>
  <c r="I80" i="23" s="1"/>
  <c r="E193" i="24"/>
  <c r="D193" i="24"/>
  <c r="E191" i="24"/>
  <c r="D191" i="24"/>
  <c r="E190" i="24"/>
  <c r="D190" i="24"/>
  <c r="E188" i="24"/>
  <c r="D188" i="24"/>
  <c r="E187" i="24"/>
  <c r="D187" i="24"/>
  <c r="E185" i="24"/>
  <c r="D185" i="24"/>
  <c r="E184" i="24"/>
  <c r="D184" i="24"/>
  <c r="E183" i="24"/>
  <c r="D183" i="24"/>
  <c r="E182" i="24"/>
  <c r="D182" i="24"/>
  <c r="E180" i="24"/>
  <c r="J76" i="23" s="1"/>
  <c r="D180" i="24"/>
  <c r="I76" i="23" s="1"/>
  <c r="E179" i="24"/>
  <c r="D179" i="24"/>
  <c r="E178" i="24"/>
  <c r="D178" i="24"/>
  <c r="E177" i="24"/>
  <c r="D177" i="24"/>
  <c r="E175" i="24"/>
  <c r="D175" i="24"/>
  <c r="E174" i="24"/>
  <c r="J74" i="23" s="1"/>
  <c r="D174" i="24"/>
  <c r="I74" i="23" s="1"/>
  <c r="E173" i="24"/>
  <c r="D173" i="24"/>
  <c r="E172" i="24"/>
  <c r="D172" i="24"/>
  <c r="E171" i="24"/>
  <c r="D171" i="24"/>
  <c r="E170" i="24"/>
  <c r="D170" i="24"/>
  <c r="E169" i="24"/>
  <c r="D169" i="24"/>
  <c r="E166" i="24"/>
  <c r="J71" i="23" s="1"/>
  <c r="L71" i="23" s="1"/>
  <c r="D166" i="24"/>
  <c r="I71" i="23" s="1"/>
  <c r="E165" i="24"/>
  <c r="D165" i="24"/>
  <c r="E164" i="24"/>
  <c r="D164" i="24"/>
  <c r="E163" i="24"/>
  <c r="J70" i="23" s="1"/>
  <c r="D163" i="24"/>
  <c r="I70" i="23" s="1"/>
  <c r="E162" i="24"/>
  <c r="D162" i="24"/>
  <c r="E161" i="24"/>
  <c r="D161" i="24"/>
  <c r="I69" i="23" s="1"/>
  <c r="E160" i="24"/>
  <c r="D160" i="24"/>
  <c r="E159" i="24"/>
  <c r="J68" i="23" s="1"/>
  <c r="L68" i="23" s="1"/>
  <c r="D159" i="24"/>
  <c r="E158" i="24"/>
  <c r="J67" i="23" s="1"/>
  <c r="D158" i="24"/>
  <c r="I67" i="23" s="1"/>
  <c r="E156" i="24"/>
  <c r="D156" i="24"/>
  <c r="E155" i="24"/>
  <c r="J65" i="23" s="1"/>
  <c r="D155" i="24"/>
  <c r="E154" i="24"/>
  <c r="D154" i="24"/>
  <c r="E153" i="24"/>
  <c r="J64" i="23" s="1"/>
  <c r="D153" i="24"/>
  <c r="I64" i="23" s="1"/>
  <c r="E152" i="24"/>
  <c r="J63" i="23" s="1"/>
  <c r="L63" i="23" s="1"/>
  <c r="D152" i="24"/>
  <c r="I63" i="23" s="1"/>
  <c r="E151" i="24"/>
  <c r="J62" i="23" s="1"/>
  <c r="D151" i="24"/>
  <c r="E150" i="24"/>
  <c r="D150" i="24"/>
  <c r="E149" i="24"/>
  <c r="D149" i="24"/>
  <c r="E148" i="24"/>
  <c r="D148" i="24"/>
  <c r="E147" i="24"/>
  <c r="D147" i="24"/>
  <c r="E144" i="24"/>
  <c r="J57" i="23" s="1"/>
  <c r="D144" i="24"/>
  <c r="I57" i="23" s="1"/>
  <c r="E143" i="24"/>
  <c r="J56" i="23" s="1"/>
  <c r="D143" i="24"/>
  <c r="I56" i="23" s="1"/>
  <c r="E142" i="24"/>
  <c r="J55" i="23" s="1"/>
  <c r="L55" i="23" s="1"/>
  <c r="D142" i="24"/>
  <c r="I55" i="23" s="1"/>
  <c r="E141" i="24"/>
  <c r="J54" i="23" s="1"/>
  <c r="D141" i="24"/>
  <c r="E140" i="24"/>
  <c r="J53" i="23" s="1"/>
  <c r="L53" i="23" s="1"/>
  <c r="D140" i="24"/>
  <c r="I53" i="23" s="1"/>
  <c r="E138" i="24"/>
  <c r="J51" i="23" s="1"/>
  <c r="D138" i="24"/>
  <c r="I51" i="23" s="1"/>
  <c r="E137" i="24"/>
  <c r="D137" i="24"/>
  <c r="E136" i="24"/>
  <c r="D136" i="24"/>
  <c r="E135" i="24"/>
  <c r="D135" i="24"/>
  <c r="E134" i="24"/>
  <c r="D134" i="24"/>
  <c r="E133" i="24"/>
  <c r="D133" i="24"/>
  <c r="E132" i="24"/>
  <c r="D132" i="24"/>
  <c r="E131" i="24"/>
  <c r="D131" i="24"/>
  <c r="E130" i="24"/>
  <c r="D130" i="24"/>
  <c r="E127" i="24"/>
  <c r="D127" i="24"/>
  <c r="I44" i="23" s="1"/>
  <c r="E126" i="24"/>
  <c r="D126" i="24"/>
  <c r="E125" i="24"/>
  <c r="D125" i="24"/>
  <c r="E124" i="24"/>
  <c r="D124" i="24"/>
  <c r="E123" i="24"/>
  <c r="D123" i="24"/>
  <c r="E122" i="24"/>
  <c r="D122" i="24"/>
  <c r="E121" i="24"/>
  <c r="D121" i="24"/>
  <c r="E119" i="24"/>
  <c r="D119" i="24"/>
  <c r="I43" i="23" s="1"/>
  <c r="E118" i="24"/>
  <c r="D118" i="24"/>
  <c r="E117" i="24"/>
  <c r="D117" i="24"/>
  <c r="E116" i="24"/>
  <c r="D116" i="24"/>
  <c r="E115" i="24"/>
  <c r="D115" i="24"/>
  <c r="E114" i="24"/>
  <c r="D114" i="24"/>
  <c r="E113" i="24"/>
  <c r="D113" i="24"/>
  <c r="E112" i="24"/>
  <c r="D112" i="24"/>
  <c r="E111" i="24"/>
  <c r="D111" i="24"/>
  <c r="E107" i="24"/>
  <c r="D107" i="24"/>
  <c r="E106" i="24"/>
  <c r="D106" i="24"/>
  <c r="E105" i="24"/>
  <c r="D105" i="24"/>
  <c r="E104" i="24"/>
  <c r="D104" i="24"/>
  <c r="E102" i="24"/>
  <c r="D102" i="24"/>
  <c r="I35" i="23" s="1"/>
  <c r="E100" i="24"/>
  <c r="J33" i="23" s="1"/>
  <c r="D100" i="24"/>
  <c r="E99" i="24"/>
  <c r="J32" i="23" s="1"/>
  <c r="L32" i="23" s="1"/>
  <c r="D99" i="24"/>
  <c r="I32" i="23" s="1"/>
  <c r="E98" i="24"/>
  <c r="J31" i="23" s="1"/>
  <c r="D98" i="24"/>
  <c r="I31" i="23" s="1"/>
  <c r="E97" i="24"/>
  <c r="D97" i="24"/>
  <c r="E94" i="24"/>
  <c r="D94" i="24"/>
  <c r="E93" i="24"/>
  <c r="D93" i="24"/>
  <c r="E92" i="24"/>
  <c r="D92" i="24"/>
  <c r="E91" i="24"/>
  <c r="D91" i="24"/>
  <c r="E90" i="24"/>
  <c r="D90" i="24"/>
  <c r="E89" i="24"/>
  <c r="D89" i="24"/>
  <c r="E88" i="24"/>
  <c r="D88" i="24"/>
  <c r="E87" i="24"/>
  <c r="D87" i="24"/>
  <c r="E85" i="24"/>
  <c r="D85" i="24"/>
  <c r="E84" i="24"/>
  <c r="D84" i="24"/>
  <c r="E83" i="24"/>
  <c r="D83" i="24"/>
  <c r="E81" i="24"/>
  <c r="D81" i="24"/>
  <c r="E80" i="24"/>
  <c r="D80" i="24"/>
  <c r="E79" i="24"/>
  <c r="E78" i="24" s="1"/>
  <c r="D79" i="24"/>
  <c r="E77" i="24"/>
  <c r="D77" i="24"/>
  <c r="E76" i="24"/>
  <c r="D76" i="24"/>
  <c r="E74" i="24"/>
  <c r="D74" i="24"/>
  <c r="E73" i="24"/>
  <c r="D73" i="24"/>
  <c r="E71" i="24"/>
  <c r="D71" i="24"/>
  <c r="E70" i="24"/>
  <c r="E69" i="24" s="1"/>
  <c r="J20" i="23" s="1"/>
  <c r="D70" i="24"/>
  <c r="E68" i="24"/>
  <c r="D68" i="24"/>
  <c r="E67" i="24"/>
  <c r="D67" i="24"/>
  <c r="E65" i="24"/>
  <c r="D65" i="24"/>
  <c r="E64" i="24"/>
  <c r="D64" i="24"/>
  <c r="E61" i="24"/>
  <c r="D61" i="24"/>
  <c r="E60" i="24"/>
  <c r="D60" i="24"/>
  <c r="I15" i="23" s="1"/>
  <c r="E57" i="24"/>
  <c r="D57" i="24"/>
  <c r="E56" i="24"/>
  <c r="D56" i="24"/>
  <c r="E55" i="24"/>
  <c r="D55" i="24"/>
  <c r="E54" i="24"/>
  <c r="D54" i="24"/>
  <c r="E52" i="24"/>
  <c r="D52" i="24"/>
  <c r="E51" i="24"/>
  <c r="D51" i="24"/>
  <c r="E50" i="24"/>
  <c r="D50" i="24"/>
  <c r="E49" i="24"/>
  <c r="D49" i="24"/>
  <c r="E48" i="24"/>
  <c r="D48" i="24"/>
  <c r="E47" i="24"/>
  <c r="D47" i="24"/>
  <c r="E46" i="24"/>
  <c r="D46" i="24"/>
  <c r="E45" i="24"/>
  <c r="D45" i="24"/>
  <c r="E43" i="24"/>
  <c r="D43" i="24"/>
  <c r="E42" i="24"/>
  <c r="D42" i="24"/>
  <c r="E41" i="24"/>
  <c r="D41" i="24"/>
  <c r="E40" i="24"/>
  <c r="D40" i="24"/>
  <c r="E39" i="24"/>
  <c r="D39" i="24"/>
  <c r="E37" i="24"/>
  <c r="E35" i="24" s="1"/>
  <c r="J9" i="23" s="1"/>
  <c r="L9" i="23" s="1"/>
  <c r="D37" i="24"/>
  <c r="E36" i="24"/>
  <c r="D36" i="24"/>
  <c r="E34" i="24"/>
  <c r="D34" i="24"/>
  <c r="D32" i="24" s="1"/>
  <c r="J33" i="24"/>
  <c r="E33" i="24"/>
  <c r="D33" i="24"/>
  <c r="L160" i="23"/>
  <c r="K160" i="23"/>
  <c r="L156" i="23"/>
  <c r="K156" i="23"/>
  <c r="J153" i="23"/>
  <c r="J152" i="23"/>
  <c r="L152" i="23" s="1"/>
  <c r="J150" i="23"/>
  <c r="L150" i="23" s="1"/>
  <c r="I150" i="23"/>
  <c r="J144" i="23"/>
  <c r="L144" i="23" s="1"/>
  <c r="I144" i="23"/>
  <c r="J137" i="23"/>
  <c r="L137" i="23" s="1"/>
  <c r="L136" i="23"/>
  <c r="K136" i="23"/>
  <c r="L135" i="23"/>
  <c r="K135" i="23"/>
  <c r="J132" i="23"/>
  <c r="L132" i="23" s="1"/>
  <c r="L131" i="23"/>
  <c r="K131" i="23"/>
  <c r="J125" i="23"/>
  <c r="L125" i="23" s="1"/>
  <c r="I125" i="23"/>
  <c r="K125" i="23" s="1"/>
  <c r="L124" i="23"/>
  <c r="K124" i="23"/>
  <c r="I121" i="23"/>
  <c r="I118" i="23"/>
  <c r="I117" i="23"/>
  <c r="I110" i="23"/>
  <c r="I96" i="23"/>
  <c r="J95" i="23"/>
  <c r="L95" i="23" s="1"/>
  <c r="I95" i="23"/>
  <c r="K95" i="23" s="1"/>
  <c r="L87" i="23"/>
  <c r="K87" i="23"/>
  <c r="L84" i="23"/>
  <c r="J84" i="23"/>
  <c r="K84" i="23" s="1"/>
  <c r="J82" i="23"/>
  <c r="J80" i="23"/>
  <c r="K80" i="23" s="1"/>
  <c r="I68" i="23"/>
  <c r="I65" i="23"/>
  <c r="I62" i="23"/>
  <c r="J50" i="23"/>
  <c r="I50" i="23"/>
  <c r="L45" i="23"/>
  <c r="K45" i="23"/>
  <c r="J44" i="23"/>
  <c r="J43" i="23"/>
  <c r="L43" i="23" s="1"/>
  <c r="J35" i="23"/>
  <c r="I33" i="23"/>
  <c r="H29" i="23"/>
  <c r="H28" i="23" s="1"/>
  <c r="G29" i="23"/>
  <c r="G28" i="23" s="1"/>
  <c r="L27" i="23"/>
  <c r="K27" i="23"/>
  <c r="J26" i="23"/>
  <c r="I26" i="23"/>
  <c r="J16" i="23"/>
  <c r="L16" i="23" s="1"/>
  <c r="I16" i="23"/>
  <c r="J15" i="23"/>
  <c r="L15" i="23" s="1"/>
  <c r="J11" i="23"/>
  <c r="L11" i="23" s="1"/>
  <c r="I11" i="23"/>
  <c r="K11" i="23" s="1"/>
  <c r="D413" i="4"/>
  <c r="K692" i="3"/>
  <c r="K693" i="3"/>
  <c r="K694" i="3"/>
  <c r="K695" i="3"/>
  <c r="K696" i="3"/>
  <c r="K697" i="3"/>
  <c r="K698" i="3"/>
  <c r="K699" i="3"/>
  <c r="K700" i="3"/>
  <c r="K701" i="3"/>
  <c r="K691" i="3"/>
  <c r="K33" i="23" l="1"/>
  <c r="D38" i="24"/>
  <c r="I10" i="23" s="1"/>
  <c r="C95" i="27"/>
  <c r="K118" i="23"/>
  <c r="L118" i="23" s="1"/>
  <c r="E32" i="24"/>
  <c r="J8" i="23" s="1"/>
  <c r="D82" i="24"/>
  <c r="I25" i="23" s="1"/>
  <c r="K113" i="23"/>
  <c r="K132" i="23"/>
  <c r="L113" i="23"/>
  <c r="J142" i="23"/>
  <c r="D321" i="24"/>
  <c r="I154" i="23"/>
  <c r="K165" i="23"/>
  <c r="I166" i="23"/>
  <c r="K117" i="23"/>
  <c r="L117" i="23" s="1"/>
  <c r="K15" i="23"/>
  <c r="D78" i="24"/>
  <c r="K32" i="23"/>
  <c r="K53" i="23"/>
  <c r="K57" i="23"/>
  <c r="L57" i="23" s="1"/>
  <c r="K129" i="23"/>
  <c r="L129" i="23" s="1"/>
  <c r="K137" i="23"/>
  <c r="C109" i="27" s="1"/>
  <c r="K140" i="23"/>
  <c r="C28" i="27" s="1"/>
  <c r="J154" i="23"/>
  <c r="E333" i="24"/>
  <c r="L165" i="23"/>
  <c r="I24" i="23"/>
  <c r="K24" i="23" s="1"/>
  <c r="J24" i="23"/>
  <c r="L24" i="23" s="1"/>
  <c r="L85" i="23"/>
  <c r="K96" i="23"/>
  <c r="L96" i="23" s="1"/>
  <c r="K43" i="23"/>
  <c r="D186" i="24"/>
  <c r="D189" i="24"/>
  <c r="D181" i="24" s="1"/>
  <c r="I77" i="23" s="1"/>
  <c r="L33" i="23"/>
  <c r="K44" i="23"/>
  <c r="E59" i="24"/>
  <c r="E157" i="24"/>
  <c r="E186" i="24"/>
  <c r="E189" i="24"/>
  <c r="I49" i="23"/>
  <c r="I48" i="23" s="1"/>
  <c r="K51" i="23"/>
  <c r="L51" i="23" s="1"/>
  <c r="I61" i="23"/>
  <c r="I60" i="23" s="1"/>
  <c r="E257" i="24"/>
  <c r="J128" i="23" s="1"/>
  <c r="E53" i="24"/>
  <c r="I23" i="23"/>
  <c r="K23" i="23" s="1"/>
  <c r="K65" i="23"/>
  <c r="L65" i="23" s="1"/>
  <c r="D318" i="24"/>
  <c r="K166" i="23"/>
  <c r="L166" i="23" s="1"/>
  <c r="J163" i="23"/>
  <c r="D75" i="24"/>
  <c r="I22" i="23" s="1"/>
  <c r="D86" i="24"/>
  <c r="K64" i="23"/>
  <c r="L64" i="23" s="1"/>
  <c r="J69" i="23"/>
  <c r="L69" i="23" s="1"/>
  <c r="E313" i="24"/>
  <c r="J148" i="23" s="1"/>
  <c r="K50" i="23"/>
  <c r="D66" i="24"/>
  <c r="I19" i="23" s="1"/>
  <c r="J23" i="23"/>
  <c r="E277" i="24"/>
  <c r="J138" i="23" s="1"/>
  <c r="L138" i="23" s="1"/>
  <c r="K150" i="23"/>
  <c r="C107" i="27" s="1"/>
  <c r="D218" i="24"/>
  <c r="D216" i="24" s="1"/>
  <c r="K31" i="23"/>
  <c r="L31" i="23"/>
  <c r="K76" i="23"/>
  <c r="C49" i="27" s="1"/>
  <c r="L76" i="23"/>
  <c r="K63" i="23"/>
  <c r="K153" i="23"/>
  <c r="C33" i="27" s="1"/>
  <c r="L80" i="23"/>
  <c r="D63" i="24"/>
  <c r="D69" i="24"/>
  <c r="I20" i="23" s="1"/>
  <c r="K20" i="23" s="1"/>
  <c r="L20" i="23" s="1"/>
  <c r="D120" i="24"/>
  <c r="I42" i="23" s="1"/>
  <c r="J61" i="23"/>
  <c r="K71" i="23"/>
  <c r="C46" i="27" s="1"/>
  <c r="E195" i="24"/>
  <c r="D201" i="24"/>
  <c r="I88" i="23" s="1"/>
  <c r="I97" i="23"/>
  <c r="K97" i="23" s="1"/>
  <c r="L97" i="23" s="1"/>
  <c r="E232" i="24"/>
  <c r="J120" i="23" s="1"/>
  <c r="L120" i="23" s="1"/>
  <c r="E283" i="24"/>
  <c r="J139" i="23" s="1"/>
  <c r="I14" i="23"/>
  <c r="K152" i="23"/>
  <c r="E44" i="24"/>
  <c r="J12" i="23" s="1"/>
  <c r="D53" i="24"/>
  <c r="E63" i="24"/>
  <c r="E103" i="24"/>
  <c r="J36" i="23" s="1"/>
  <c r="E120" i="24"/>
  <c r="J42" i="23" s="1"/>
  <c r="E176" i="24"/>
  <c r="J75" i="23" s="1"/>
  <c r="L75" i="23" s="1"/>
  <c r="D226" i="24"/>
  <c r="I119" i="23" s="1"/>
  <c r="J49" i="23"/>
  <c r="L49" i="23" s="1"/>
  <c r="J81" i="23"/>
  <c r="K121" i="23"/>
  <c r="D168" i="24"/>
  <c r="E226" i="24"/>
  <c r="J119" i="23" s="1"/>
  <c r="E248" i="24"/>
  <c r="J127" i="23" s="1"/>
  <c r="L127" i="23" s="1"/>
  <c r="D257" i="24"/>
  <c r="I128" i="23" s="1"/>
  <c r="K128" i="23" s="1"/>
  <c r="E307" i="24"/>
  <c r="J146" i="23" s="1"/>
  <c r="L146" i="23" s="1"/>
  <c r="D313" i="24"/>
  <c r="I148" i="23" s="1"/>
  <c r="E327" i="24"/>
  <c r="D333" i="24"/>
  <c r="D332" i="24" s="1"/>
  <c r="L44" i="23"/>
  <c r="L50" i="23"/>
  <c r="E38" i="24"/>
  <c r="J10" i="23" s="1"/>
  <c r="L10" i="23" s="1"/>
  <c r="D59" i="24"/>
  <c r="E75" i="24"/>
  <c r="J22" i="23" s="1"/>
  <c r="E168" i="24"/>
  <c r="D277" i="24"/>
  <c r="I138" i="23" s="1"/>
  <c r="K138" i="23" s="1"/>
  <c r="E318" i="24"/>
  <c r="E317" i="24" s="1"/>
  <c r="J149" i="23" s="1"/>
  <c r="K16" i="23"/>
  <c r="K68" i="23"/>
  <c r="C100" i="27" s="1"/>
  <c r="E66" i="24"/>
  <c r="J19" i="23" s="1"/>
  <c r="D72" i="24"/>
  <c r="I21" i="23" s="1"/>
  <c r="E86" i="24"/>
  <c r="E96" i="24"/>
  <c r="D110" i="24"/>
  <c r="E139" i="24"/>
  <c r="E129" i="24" s="1"/>
  <c r="E146" i="24"/>
  <c r="E145" i="24" s="1"/>
  <c r="E218" i="24"/>
  <c r="E216" i="24" s="1"/>
  <c r="E214" i="24" s="1"/>
  <c r="E240" i="24"/>
  <c r="J126" i="23" s="1"/>
  <c r="D271" i="24"/>
  <c r="E296" i="24"/>
  <c r="D341" i="24"/>
  <c r="J52" i="23"/>
  <c r="K122" i="23"/>
  <c r="L122" i="23" s="1"/>
  <c r="E72" i="24"/>
  <c r="J21" i="23" s="1"/>
  <c r="E82" i="24"/>
  <c r="J25" i="23" s="1"/>
  <c r="K55" i="23"/>
  <c r="E204" i="24"/>
  <c r="J89" i="23" s="1"/>
  <c r="K115" i="23"/>
  <c r="L115" i="23" s="1"/>
  <c r="E271" i="24"/>
  <c r="D283" i="24"/>
  <c r="I139" i="23" s="1"/>
  <c r="K139" i="23" s="1"/>
  <c r="C27" i="27" s="1"/>
  <c r="K143" i="23"/>
  <c r="I145" i="23"/>
  <c r="K145" i="23" s="1"/>
  <c r="L145" i="23" s="1"/>
  <c r="K147" i="23"/>
  <c r="L147" i="23" s="1"/>
  <c r="K151" i="23"/>
  <c r="C32" i="27" s="1"/>
  <c r="L158" i="23"/>
  <c r="K158" i="23"/>
  <c r="D317" i="24"/>
  <c r="I149" i="23" s="1"/>
  <c r="I41" i="23"/>
  <c r="D109" i="24"/>
  <c r="J141" i="23"/>
  <c r="E167" i="24"/>
  <c r="J73" i="23"/>
  <c r="D208" i="24"/>
  <c r="I94" i="23"/>
  <c r="D296" i="24"/>
  <c r="J14" i="23"/>
  <c r="K56" i="23"/>
  <c r="C98" i="27" s="1"/>
  <c r="K62" i="23"/>
  <c r="K70" i="23"/>
  <c r="C102" i="27" s="1"/>
  <c r="K74" i="23"/>
  <c r="L74" i="23" s="1"/>
  <c r="J167" i="23"/>
  <c r="D44" i="24"/>
  <c r="I12" i="23" s="1"/>
  <c r="K35" i="23"/>
  <c r="L35" i="23" s="1"/>
  <c r="E208" i="24"/>
  <c r="J94" i="23"/>
  <c r="D232" i="24"/>
  <c r="I120" i="23" s="1"/>
  <c r="E295" i="24"/>
  <c r="D327" i="24"/>
  <c r="L8" i="23"/>
  <c r="L62" i="23"/>
  <c r="L70" i="23"/>
  <c r="I111" i="23"/>
  <c r="K111" i="23" s="1"/>
  <c r="K112" i="23"/>
  <c r="L112" i="23" s="1"/>
  <c r="D35" i="24"/>
  <c r="I9" i="23" s="1"/>
  <c r="K9" i="23" s="1"/>
  <c r="D192" i="24"/>
  <c r="I79" i="23"/>
  <c r="E332" i="24"/>
  <c r="J157" i="23"/>
  <c r="J30" i="23"/>
  <c r="C53" i="27"/>
  <c r="J111" i="23"/>
  <c r="K116" i="23"/>
  <c r="L116" i="23" s="1"/>
  <c r="K144" i="23"/>
  <c r="K164" i="23"/>
  <c r="D157" i="24"/>
  <c r="E192" i="24"/>
  <c r="J79" i="23"/>
  <c r="K83" i="23"/>
  <c r="L83" i="23" s="1"/>
  <c r="I81" i="23"/>
  <c r="K108" i="23"/>
  <c r="L108" i="23" s="1"/>
  <c r="I54" i="23"/>
  <c r="K54" i="23" s="1"/>
  <c r="L54" i="23" s="1"/>
  <c r="D139" i="24"/>
  <c r="D129" i="24" s="1"/>
  <c r="D204" i="24"/>
  <c r="I89" i="23" s="1"/>
  <c r="D248" i="24"/>
  <c r="I127" i="23" s="1"/>
  <c r="K127" i="23" s="1"/>
  <c r="D307" i="24"/>
  <c r="I146" i="23" s="1"/>
  <c r="J109" i="23"/>
  <c r="K22" i="23"/>
  <c r="K25" i="23"/>
  <c r="J134" i="23"/>
  <c r="L134" i="23" s="1"/>
  <c r="K154" i="23"/>
  <c r="D103" i="24"/>
  <c r="I66" i="23"/>
  <c r="K67" i="23"/>
  <c r="C99" i="27" s="1"/>
  <c r="D176" i="24"/>
  <c r="I75" i="23" s="1"/>
  <c r="C4" i="27"/>
  <c r="I8" i="23"/>
  <c r="D146" i="24"/>
  <c r="D195" i="24"/>
  <c r="D240" i="24"/>
  <c r="K26" i="23"/>
  <c r="L26" i="23" s="1"/>
  <c r="K82" i="23"/>
  <c r="L82" i="23" s="1"/>
  <c r="K110" i="23"/>
  <c r="L110" i="23" s="1"/>
  <c r="K114" i="23"/>
  <c r="L114" i="23" s="1"/>
  <c r="I133" i="23"/>
  <c r="K133" i="23" s="1"/>
  <c r="I142" i="23"/>
  <c r="I30" i="23"/>
  <c r="D96" i="24"/>
  <c r="E110" i="24"/>
  <c r="E200" i="24"/>
  <c r="J88" i="23"/>
  <c r="K163" i="23"/>
  <c r="I167" i="23"/>
  <c r="E585" i="4"/>
  <c r="E117" i="1" s="1"/>
  <c r="K1022" i="3"/>
  <c r="E584" i="4"/>
  <c r="K1021" i="3"/>
  <c r="D584" i="4" s="1"/>
  <c r="E583" i="4"/>
  <c r="K1020" i="3"/>
  <c r="D583" i="4" s="1"/>
  <c r="K1019" i="3"/>
  <c r="E581" i="4"/>
  <c r="E115" i="1" s="1"/>
  <c r="K1018" i="3"/>
  <c r="D581" i="4" s="1"/>
  <c r="E580" i="4"/>
  <c r="E114" i="1" s="1"/>
  <c r="K1017" i="3"/>
  <c r="D580" i="4" s="1"/>
  <c r="K1016" i="3"/>
  <c r="D579" i="4" s="1"/>
  <c r="E578" i="4"/>
  <c r="E112" i="1" s="1"/>
  <c r="K1015" i="3"/>
  <c r="D578" i="4" s="1"/>
  <c r="K1014" i="3"/>
  <c r="E573" i="4"/>
  <c r="K1013" i="3"/>
  <c r="D573" i="4" s="1"/>
  <c r="E572" i="4"/>
  <c r="K1012" i="3"/>
  <c r="D572" i="4" s="1"/>
  <c r="E571" i="4"/>
  <c r="K1011" i="3"/>
  <c r="D571" i="4" s="1"/>
  <c r="E570" i="4"/>
  <c r="K1010" i="3"/>
  <c r="D570" i="4" s="1"/>
  <c r="K1009" i="3"/>
  <c r="D569" i="4" s="1"/>
  <c r="E568" i="4"/>
  <c r="K1008" i="3"/>
  <c r="D568" i="4" s="1"/>
  <c r="E567" i="4"/>
  <c r="K1007" i="3"/>
  <c r="D567" i="4" s="1"/>
  <c r="E566" i="4"/>
  <c r="K1006" i="3"/>
  <c r="D566" i="4" s="1"/>
  <c r="K1005" i="3"/>
  <c r="E564" i="4"/>
  <c r="K1004" i="3"/>
  <c r="D564" i="4" s="1"/>
  <c r="E563" i="4"/>
  <c r="K1003" i="3"/>
  <c r="D563" i="4" s="1"/>
  <c r="K1002" i="3"/>
  <c r="K1001" i="3"/>
  <c r="D561" i="4" s="1"/>
  <c r="E560" i="4"/>
  <c r="K1000" i="3"/>
  <c r="D560" i="4" s="1"/>
  <c r="E559" i="4"/>
  <c r="K999" i="3"/>
  <c r="D559" i="4" s="1"/>
  <c r="E558" i="4"/>
  <c r="K998" i="3"/>
  <c r="D558" i="4" s="1"/>
  <c r="E557" i="4"/>
  <c r="K997" i="3"/>
  <c r="D557" i="4" s="1"/>
  <c r="E556" i="4"/>
  <c r="K996" i="3"/>
  <c r="D556" i="4" s="1"/>
  <c r="E555" i="4"/>
  <c r="K995" i="3"/>
  <c r="D555" i="4" s="1"/>
  <c r="K994" i="3"/>
  <c r="D554" i="4" s="1"/>
  <c r="K993" i="3"/>
  <c r="E552" i="4"/>
  <c r="K992" i="3"/>
  <c r="D552" i="4" s="1"/>
  <c r="K991" i="3"/>
  <c r="K990" i="3"/>
  <c r="D550" i="4" s="1"/>
  <c r="K989" i="3"/>
  <c r="D549" i="4" s="1"/>
  <c r="K988" i="3"/>
  <c r="K987" i="3"/>
  <c r="E546" i="4"/>
  <c r="K986" i="3"/>
  <c r="D546" i="4" s="1"/>
  <c r="E545" i="4"/>
  <c r="K985" i="3"/>
  <c r="D545" i="4" s="1"/>
  <c r="K984" i="3"/>
  <c r="E543" i="4"/>
  <c r="E104" i="1" s="1"/>
  <c r="K983" i="3"/>
  <c r="D543" i="4" s="1"/>
  <c r="K982" i="3"/>
  <c r="E513" i="4"/>
  <c r="E96" i="1" s="1"/>
  <c r="K981" i="3"/>
  <c r="D513" i="4" s="1"/>
  <c r="E509" i="4"/>
  <c r="K980" i="3"/>
  <c r="D509" i="4" s="1"/>
  <c r="E508" i="4"/>
  <c r="K979" i="3"/>
  <c r="D508" i="4" s="1"/>
  <c r="K978" i="3"/>
  <c r="K977" i="3"/>
  <c r="K976" i="3"/>
  <c r="K975" i="3"/>
  <c r="E505" i="4"/>
  <c r="K974" i="3"/>
  <c r="D505" i="4" s="1"/>
  <c r="K973" i="3"/>
  <c r="D504" i="4" s="1"/>
  <c r="K972" i="3"/>
  <c r="E490" i="4"/>
  <c r="K971" i="3"/>
  <c r="D490" i="4" s="1"/>
  <c r="E489" i="4"/>
  <c r="K970" i="3"/>
  <c r="D489" i="4" s="1"/>
  <c r="E488" i="4"/>
  <c r="K969" i="3"/>
  <c r="D488" i="4" s="1"/>
  <c r="E487" i="4"/>
  <c r="K968" i="3"/>
  <c r="D487" i="4" s="1"/>
  <c r="E486" i="4"/>
  <c r="K967" i="3"/>
  <c r="D486" i="4" s="1"/>
  <c r="E485" i="4"/>
  <c r="K966" i="3"/>
  <c r="D485" i="4" s="1"/>
  <c r="E484" i="4"/>
  <c r="K965" i="3"/>
  <c r="D484" i="4" s="1"/>
  <c r="E483" i="4"/>
  <c r="K964" i="3"/>
  <c r="D483" i="4" s="1"/>
  <c r="E482" i="4"/>
  <c r="K963" i="3"/>
  <c r="D482" i="4" s="1"/>
  <c r="E481" i="4"/>
  <c r="K962" i="3"/>
  <c r="D481" i="4" s="1"/>
  <c r="K961" i="3"/>
  <c r="E479" i="4"/>
  <c r="K960" i="3"/>
  <c r="D479" i="4" s="1"/>
  <c r="K959" i="3"/>
  <c r="K958" i="3"/>
  <c r="K957" i="3"/>
  <c r="E477" i="4"/>
  <c r="K956" i="3"/>
  <c r="D477" i="4" s="1"/>
  <c r="E476" i="4"/>
  <c r="K955" i="3"/>
  <c r="D476" i="4" s="1"/>
  <c r="E475" i="4"/>
  <c r="K954" i="3"/>
  <c r="D475" i="4" s="1"/>
  <c r="K953" i="3"/>
  <c r="D474" i="4" s="1"/>
  <c r="K952" i="3"/>
  <c r="K951" i="3"/>
  <c r="K950" i="3"/>
  <c r="K949" i="3"/>
  <c r="E471" i="4"/>
  <c r="K948" i="3"/>
  <c r="D471" i="4" s="1"/>
  <c r="K947" i="3"/>
  <c r="K946" i="3"/>
  <c r="K945" i="3"/>
  <c r="K944" i="3"/>
  <c r="K942" i="3"/>
  <c r="D469" i="4" s="1"/>
  <c r="E468" i="4"/>
  <c r="K941" i="3"/>
  <c r="D468" i="4" s="1"/>
  <c r="K940" i="3"/>
  <c r="D467" i="4" s="1"/>
  <c r="E466" i="4"/>
  <c r="K939" i="3"/>
  <c r="D466" i="4" s="1"/>
  <c r="E465" i="4"/>
  <c r="K938" i="3"/>
  <c r="D465" i="4" s="1"/>
  <c r="K937" i="3"/>
  <c r="K936" i="3"/>
  <c r="E462" i="4"/>
  <c r="K935" i="3"/>
  <c r="D462" i="4" s="1"/>
  <c r="E461" i="4"/>
  <c r="K934" i="3"/>
  <c r="D461" i="4" s="1"/>
  <c r="E460" i="4"/>
  <c r="K933" i="3"/>
  <c r="D460" i="4" s="1"/>
  <c r="E459" i="4"/>
  <c r="K932" i="3"/>
  <c r="D459" i="4" s="1"/>
  <c r="E458" i="4"/>
  <c r="K931" i="3"/>
  <c r="D458" i="4" s="1"/>
  <c r="E457" i="4"/>
  <c r="K930" i="3"/>
  <c r="D457" i="4" s="1"/>
  <c r="K929" i="3"/>
  <c r="E455" i="4"/>
  <c r="K928" i="3"/>
  <c r="D455" i="4" s="1"/>
  <c r="E454" i="4"/>
  <c r="K927" i="3"/>
  <c r="D454" i="4" s="1"/>
  <c r="E453" i="4"/>
  <c r="K926" i="3"/>
  <c r="D453" i="4" s="1"/>
  <c r="E452" i="4"/>
  <c r="K925" i="3"/>
  <c r="D452" i="4" s="1"/>
  <c r="E451" i="4"/>
  <c r="K924" i="3"/>
  <c r="D451" i="4" s="1"/>
  <c r="E450" i="4"/>
  <c r="K923" i="3"/>
  <c r="D450" i="4" s="1"/>
  <c r="E449" i="4"/>
  <c r="K922" i="3"/>
  <c r="D449" i="4" s="1"/>
  <c r="E448" i="4"/>
  <c r="K921" i="3"/>
  <c r="D448" i="4" s="1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E441" i="4"/>
  <c r="K850" i="3"/>
  <c r="D441" i="4" s="1"/>
  <c r="E440" i="4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D435" i="4" s="1"/>
  <c r="E434" i="4"/>
  <c r="K836" i="3"/>
  <c r="D434" i="4" s="1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E430" i="4"/>
  <c r="K817" i="3"/>
  <c r="D430" i="4" s="1"/>
  <c r="K816" i="3"/>
  <c r="K815" i="3"/>
  <c r="K814" i="3"/>
  <c r="K813" i="3"/>
  <c r="K812" i="3"/>
  <c r="K811" i="3"/>
  <c r="K810" i="3"/>
  <c r="K809" i="3"/>
  <c r="K808" i="3"/>
  <c r="E427" i="4"/>
  <c r="K807" i="3"/>
  <c r="D427" i="4" s="1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E423" i="4"/>
  <c r="K779" i="3"/>
  <c r="D423" i="4" s="1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E418" i="4"/>
  <c r="K755" i="3"/>
  <c r="D418" i="4" s="1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E414" i="4"/>
  <c r="D414" i="4"/>
  <c r="K689" i="3"/>
  <c r="K688" i="3"/>
  <c r="K687" i="3"/>
  <c r="K686" i="3"/>
  <c r="K685" i="3"/>
  <c r="K684" i="3"/>
  <c r="K683" i="3"/>
  <c r="K682" i="3"/>
  <c r="K681" i="3"/>
  <c r="K68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E409" i="4"/>
  <c r="K657" i="3"/>
  <c r="D409" i="4" s="1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E405" i="4"/>
  <c r="K629" i="3"/>
  <c r="D405" i="4" s="1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E400" i="4"/>
  <c r="K606" i="3"/>
  <c r="D400" i="4" s="1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E396" i="4"/>
  <c r="K526" i="3"/>
  <c r="D396" i="4" s="1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E392" i="4"/>
  <c r="K504" i="3"/>
  <c r="D392" i="4" s="1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E385" i="4"/>
  <c r="K474" i="3"/>
  <c r="D385" i="4" s="1"/>
  <c r="E384" i="4"/>
  <c r="K473" i="3"/>
  <c r="D384" i="4" s="1"/>
  <c r="K472" i="3"/>
  <c r="K471" i="3"/>
  <c r="K470" i="3"/>
  <c r="K469" i="3"/>
  <c r="K468" i="3"/>
  <c r="K467" i="3"/>
  <c r="K466" i="3"/>
  <c r="K465" i="3"/>
  <c r="K464" i="3"/>
  <c r="K463" i="3"/>
  <c r="K462" i="3"/>
  <c r="K461" i="3"/>
  <c r="E379" i="4"/>
  <c r="K460" i="3"/>
  <c r="D379" i="4" s="1"/>
  <c r="K459" i="3"/>
  <c r="K458" i="3"/>
  <c r="K457" i="3"/>
  <c r="K456" i="3"/>
  <c r="K455" i="3"/>
  <c r="E375" i="4"/>
  <c r="K454" i="3"/>
  <c r="D375" i="4" s="1"/>
  <c r="K453" i="3"/>
  <c r="K452" i="3"/>
  <c r="K451" i="3"/>
  <c r="K450" i="3"/>
  <c r="E373" i="4"/>
  <c r="K449" i="3"/>
  <c r="D373" i="4" s="1"/>
  <c r="E372" i="4"/>
  <c r="K448" i="3"/>
  <c r="D372" i="4" s="1"/>
  <c r="E371" i="4"/>
  <c r="K447" i="3"/>
  <c r="D371" i="4" s="1"/>
  <c r="K446" i="3"/>
  <c r="K445" i="3"/>
  <c r="K444" i="3"/>
  <c r="K443" i="3"/>
  <c r="E369" i="4"/>
  <c r="K442" i="3"/>
  <c r="D369" i="4" s="1"/>
  <c r="K441" i="3"/>
  <c r="E367" i="4"/>
  <c r="K440" i="3"/>
  <c r="D367" i="4" s="1"/>
  <c r="E366" i="4"/>
  <c r="K439" i="3"/>
  <c r="D366" i="4" s="1"/>
  <c r="K438" i="3"/>
  <c r="E364" i="4"/>
  <c r="K437" i="3"/>
  <c r="D364" i="4" s="1"/>
  <c r="E363" i="4"/>
  <c r="K436" i="3"/>
  <c r="D363" i="4" s="1"/>
  <c r="E362" i="4"/>
  <c r="K435" i="3"/>
  <c r="D362" i="4" s="1"/>
  <c r="K434" i="3"/>
  <c r="E360" i="4"/>
  <c r="K433" i="3"/>
  <c r="D360" i="4" s="1"/>
  <c r="K432" i="3"/>
  <c r="K431" i="3"/>
  <c r="K430" i="3"/>
  <c r="K429" i="3"/>
  <c r="K428" i="3"/>
  <c r="K427" i="3"/>
  <c r="E358" i="4"/>
  <c r="K426" i="3"/>
  <c r="D358" i="4" s="1"/>
  <c r="E357" i="4"/>
  <c r="K425" i="3"/>
  <c r="D357" i="4" s="1"/>
  <c r="E356" i="4"/>
  <c r="K424" i="3"/>
  <c r="D356" i="4" s="1"/>
  <c r="K423" i="3"/>
  <c r="K422" i="3"/>
  <c r="K421" i="3"/>
  <c r="K420" i="3"/>
  <c r="K419" i="3"/>
  <c r="K418" i="3"/>
  <c r="K417" i="3"/>
  <c r="K416" i="3"/>
  <c r="D353" i="4" s="1"/>
  <c r="E352" i="4"/>
  <c r="K415" i="3"/>
  <c r="D352" i="4" s="1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E348" i="4"/>
  <c r="K394" i="3"/>
  <c r="D348" i="4" s="1"/>
  <c r="K393" i="3"/>
  <c r="E346" i="4"/>
  <c r="K392" i="3"/>
  <c r="D346" i="4" s="1"/>
  <c r="E345" i="4"/>
  <c r="K391" i="3"/>
  <c r="D345" i="4" s="1"/>
  <c r="K390" i="3"/>
  <c r="K389" i="3"/>
  <c r="K388" i="3"/>
  <c r="K387" i="3"/>
  <c r="K386" i="3"/>
  <c r="K385" i="3"/>
  <c r="K384" i="3"/>
  <c r="E342" i="4"/>
  <c r="K383" i="3"/>
  <c r="D342" i="4" s="1"/>
  <c r="K382" i="3"/>
  <c r="K381" i="3"/>
  <c r="K380" i="3"/>
  <c r="E340" i="4"/>
  <c r="K379" i="3"/>
  <c r="D340" i="4" s="1"/>
  <c r="E339" i="4"/>
  <c r="K378" i="3"/>
  <c r="D339" i="4" s="1"/>
  <c r="K377" i="3"/>
  <c r="K376" i="3"/>
  <c r="K375" i="3"/>
  <c r="K374" i="3"/>
  <c r="E337" i="4"/>
  <c r="K373" i="3"/>
  <c r="D337" i="4" s="1"/>
  <c r="E336" i="4"/>
  <c r="K372" i="3"/>
  <c r="D336" i="4" s="1"/>
  <c r="E335" i="4"/>
  <c r="K371" i="3"/>
  <c r="D335" i="4" s="1"/>
  <c r="K370" i="3"/>
  <c r="E333" i="4"/>
  <c r="K369" i="3"/>
  <c r="D333" i="4" s="1"/>
  <c r="E332" i="4"/>
  <c r="K368" i="3"/>
  <c r="D332" i="4" s="1"/>
  <c r="K367" i="3"/>
  <c r="K366" i="3"/>
  <c r="E329" i="4"/>
  <c r="E58" i="1" s="1"/>
  <c r="K365" i="3"/>
  <c r="D329" i="4" s="1"/>
  <c r="E328" i="4"/>
  <c r="K364" i="3"/>
  <c r="D328" i="4" s="1"/>
  <c r="E327" i="4"/>
  <c r="K363" i="3"/>
  <c r="D327" i="4" s="1"/>
  <c r="E326" i="4"/>
  <c r="K362" i="3"/>
  <c r="D326" i="4" s="1"/>
  <c r="K361" i="3"/>
  <c r="K360" i="3"/>
  <c r="K359" i="3"/>
  <c r="K358" i="3"/>
  <c r="K357" i="3"/>
  <c r="E324" i="4"/>
  <c r="K356" i="3"/>
  <c r="D324" i="4" s="1"/>
  <c r="E323" i="4"/>
  <c r="K355" i="3"/>
  <c r="D323" i="4" s="1"/>
  <c r="E322" i="4"/>
  <c r="K354" i="3"/>
  <c r="D322" i="4" s="1"/>
  <c r="K353" i="3"/>
  <c r="E320" i="4"/>
  <c r="K352" i="3"/>
  <c r="D320" i="4" s="1"/>
  <c r="E319" i="4"/>
  <c r="K351" i="3"/>
  <c r="D319" i="4" s="1"/>
  <c r="E318" i="4"/>
  <c r="K350" i="3"/>
  <c r="D318" i="4" s="1"/>
  <c r="K349" i="3"/>
  <c r="K348" i="3"/>
  <c r="K347" i="3"/>
  <c r="K346" i="3"/>
  <c r="K345" i="3"/>
  <c r="K344" i="3"/>
  <c r="K343" i="3"/>
  <c r="K342" i="3"/>
  <c r="K341" i="3"/>
  <c r="K340" i="3"/>
  <c r="K339" i="3"/>
  <c r="E315" i="4"/>
  <c r="K338" i="3"/>
  <c r="D315" i="4" s="1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E311" i="4"/>
  <c r="K316" i="3"/>
  <c r="D311" i="4" s="1"/>
  <c r="K315" i="3"/>
  <c r="E309" i="4"/>
  <c r="K314" i="3"/>
  <c r="D309" i="4" s="1"/>
  <c r="E308" i="4"/>
  <c r="K313" i="3"/>
  <c r="D308" i="4" s="1"/>
  <c r="K312" i="3"/>
  <c r="E306" i="4"/>
  <c r="K311" i="3"/>
  <c r="D306" i="4" s="1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E303" i="4"/>
  <c r="K296" i="3"/>
  <c r="D303" i="4" s="1"/>
  <c r="E302" i="4"/>
  <c r="K295" i="3"/>
  <c r="D302" i="4" s="1"/>
  <c r="E301" i="4"/>
  <c r="K294" i="3"/>
  <c r="D301" i="4" s="1"/>
  <c r="E300" i="4"/>
  <c r="K293" i="3"/>
  <c r="D300" i="4" s="1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E294" i="4"/>
  <c r="K259" i="3"/>
  <c r="D294" i="4" s="1"/>
  <c r="E293" i="4"/>
  <c r="K258" i="3"/>
  <c r="D293" i="4" s="1"/>
  <c r="E292" i="4"/>
  <c r="K257" i="3"/>
  <c r="D292" i="4" s="1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E287" i="4"/>
  <c r="K240" i="3"/>
  <c r="D287" i="4" s="1"/>
  <c r="K239" i="3"/>
  <c r="K238" i="3"/>
  <c r="K237" i="3"/>
  <c r="K236" i="3"/>
  <c r="K235" i="3"/>
  <c r="E285" i="4"/>
  <c r="K234" i="3"/>
  <c r="D285" i="4" s="1"/>
  <c r="E284" i="4"/>
  <c r="K233" i="3"/>
  <c r="D284" i="4" s="1"/>
  <c r="K232" i="3"/>
  <c r="K231" i="3"/>
  <c r="K230" i="3"/>
  <c r="K229" i="3"/>
  <c r="K228" i="3"/>
  <c r="K227" i="3"/>
  <c r="K226" i="3"/>
  <c r="E280" i="4"/>
  <c r="K225" i="3"/>
  <c r="D280" i="4" s="1"/>
  <c r="E279" i="4"/>
  <c r="K224" i="3"/>
  <c r="D279" i="4" s="1"/>
  <c r="E278" i="4"/>
  <c r="K223" i="3"/>
  <c r="D278" i="4" s="1"/>
  <c r="K222" i="3"/>
  <c r="E276" i="4"/>
  <c r="K221" i="3"/>
  <c r="D276" i="4" s="1"/>
  <c r="E275" i="4"/>
  <c r="K220" i="3"/>
  <c r="D275" i="4" s="1"/>
  <c r="E274" i="4"/>
  <c r="K219" i="3"/>
  <c r="D274" i="4" s="1"/>
  <c r="E273" i="4"/>
  <c r="K218" i="3"/>
  <c r="D273" i="4" s="1"/>
  <c r="E272" i="4"/>
  <c r="K217" i="3"/>
  <c r="D272" i="4" s="1"/>
  <c r="K216" i="3"/>
  <c r="E270" i="4"/>
  <c r="K215" i="3"/>
  <c r="D270" i="4" s="1"/>
  <c r="E269" i="4"/>
  <c r="K214" i="3"/>
  <c r="D269" i="4" s="1"/>
  <c r="E268" i="4"/>
  <c r="K213" i="3"/>
  <c r="D268" i="4" s="1"/>
  <c r="K212" i="3"/>
  <c r="E267" i="4"/>
  <c r="K211" i="3"/>
  <c r="D267" i="4" s="1"/>
  <c r="E266" i="4"/>
  <c r="K210" i="3"/>
  <c r="D266" i="4" s="1"/>
  <c r="K209" i="3"/>
  <c r="K208" i="3"/>
  <c r="K207" i="3"/>
  <c r="K206" i="3"/>
  <c r="E263" i="4"/>
  <c r="K205" i="3"/>
  <c r="D263" i="4" s="1"/>
  <c r="E262" i="4"/>
  <c r="K204" i="3"/>
  <c r="D262" i="4" s="1"/>
  <c r="E261" i="4"/>
  <c r="K203" i="3"/>
  <c r="D261" i="4" s="1"/>
  <c r="E260" i="4"/>
  <c r="K202" i="3"/>
  <c r="D260" i="4" s="1"/>
  <c r="E259" i="4"/>
  <c r="K201" i="3"/>
  <c r="D259" i="4" s="1"/>
  <c r="K200" i="3"/>
  <c r="E257" i="4"/>
  <c r="K199" i="3"/>
  <c r="D257" i="4" s="1"/>
  <c r="E256" i="4"/>
  <c r="K198" i="3"/>
  <c r="D256" i="4" s="1"/>
  <c r="E255" i="4"/>
  <c r="K197" i="3"/>
  <c r="D255" i="4" s="1"/>
  <c r="E254" i="4"/>
  <c r="K196" i="3"/>
  <c r="D254" i="4" s="1"/>
  <c r="E253" i="4"/>
  <c r="K195" i="3"/>
  <c r="D253" i="4" s="1"/>
  <c r="K194" i="3"/>
  <c r="E251" i="4"/>
  <c r="K193" i="3"/>
  <c r="D251" i="4" s="1"/>
  <c r="K192" i="3"/>
  <c r="E250" i="4"/>
  <c r="K191" i="3"/>
  <c r="D250" i="4" s="1"/>
  <c r="K190" i="3"/>
  <c r="K189" i="3"/>
  <c r="K188" i="3"/>
  <c r="K187" i="3"/>
  <c r="K186" i="3"/>
  <c r="K185" i="3"/>
  <c r="K184" i="3"/>
  <c r="E246" i="4"/>
  <c r="K183" i="3"/>
  <c r="D246" i="4" s="1"/>
  <c r="E245" i="4"/>
  <c r="K182" i="3"/>
  <c r="D245" i="4" s="1"/>
  <c r="E244" i="4"/>
  <c r="K181" i="3"/>
  <c r="D244" i="4" s="1"/>
  <c r="K180" i="3"/>
  <c r="K179" i="3"/>
  <c r="K178" i="3"/>
  <c r="K177" i="3"/>
  <c r="K176" i="3"/>
  <c r="E241" i="4"/>
  <c r="K175" i="3"/>
  <c r="D241" i="4" s="1"/>
  <c r="E240" i="4"/>
  <c r="K174" i="3"/>
  <c r="D240" i="4" s="1"/>
  <c r="E239" i="4"/>
  <c r="K173" i="3"/>
  <c r="D239" i="4" s="1"/>
  <c r="K172" i="3"/>
  <c r="K171" i="3"/>
  <c r="K170" i="3"/>
  <c r="K169" i="3"/>
  <c r="K168" i="3"/>
  <c r="K167" i="3"/>
  <c r="K166" i="3"/>
  <c r="E235" i="4"/>
  <c r="K165" i="3"/>
  <c r="D235" i="4" s="1"/>
  <c r="E234" i="4"/>
  <c r="K164" i="3"/>
  <c r="D234" i="4" s="1"/>
  <c r="E233" i="4"/>
  <c r="K163" i="3"/>
  <c r="D233" i="4" s="1"/>
  <c r="K162" i="3"/>
  <c r="E231" i="4"/>
  <c r="K161" i="3"/>
  <c r="D231" i="4" s="1"/>
  <c r="E230" i="4"/>
  <c r="K160" i="3"/>
  <c r="D230" i="4" s="1"/>
  <c r="E229" i="4"/>
  <c r="K159" i="3"/>
  <c r="D229" i="4" s="1"/>
  <c r="E228" i="4"/>
  <c r="K158" i="3"/>
  <c r="D228" i="4" s="1"/>
  <c r="E227" i="4"/>
  <c r="K157" i="3"/>
  <c r="D227" i="4" s="1"/>
  <c r="E226" i="4"/>
  <c r="K156" i="3"/>
  <c r="D226" i="4" s="1"/>
  <c r="E225" i="4"/>
  <c r="K155" i="3"/>
  <c r="D225" i="4" s="1"/>
  <c r="E224" i="4"/>
  <c r="K154" i="3"/>
  <c r="D224" i="4" s="1"/>
  <c r="E223" i="4"/>
  <c r="K153" i="3"/>
  <c r="D223" i="4" s="1"/>
  <c r="E222" i="4"/>
  <c r="K152" i="3"/>
  <c r="D222" i="4" s="1"/>
  <c r="K151" i="3"/>
  <c r="K150" i="3"/>
  <c r="K149" i="3"/>
  <c r="K148" i="3"/>
  <c r="K147" i="3"/>
  <c r="K146" i="3"/>
  <c r="K145" i="3"/>
  <c r="K144" i="3"/>
  <c r="K143" i="3"/>
  <c r="E219" i="4"/>
  <c r="K142" i="3"/>
  <c r="D219" i="4" s="1"/>
  <c r="E218" i="4"/>
  <c r="K141" i="3"/>
  <c r="D218" i="4" s="1"/>
  <c r="K140" i="3"/>
  <c r="E217" i="4"/>
  <c r="K139" i="3"/>
  <c r="D217" i="4" s="1"/>
  <c r="E216" i="4"/>
  <c r="K138" i="3"/>
  <c r="D216" i="4" s="1"/>
  <c r="E215" i="4"/>
  <c r="K137" i="3"/>
  <c r="D215" i="4" s="1"/>
  <c r="K136" i="3"/>
  <c r="K135" i="3"/>
  <c r="K134" i="3"/>
  <c r="K133" i="3"/>
  <c r="E212" i="4"/>
  <c r="K132" i="3"/>
  <c r="D212" i="4" s="1"/>
  <c r="E211" i="4"/>
  <c r="K131" i="3"/>
  <c r="D211" i="4" s="1"/>
  <c r="K130" i="3"/>
  <c r="K129" i="3"/>
  <c r="K128" i="3"/>
  <c r="K127" i="3"/>
  <c r="E208" i="4"/>
  <c r="K126" i="3"/>
  <c r="D208" i="4" s="1"/>
  <c r="E207" i="4"/>
  <c r="K125" i="3"/>
  <c r="D207" i="4" s="1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E190" i="4"/>
  <c r="K47" i="3"/>
  <c r="D190" i="4" s="1"/>
  <c r="E189" i="4"/>
  <c r="K46" i="3"/>
  <c r="D189" i="4" s="1"/>
  <c r="E188" i="4"/>
  <c r="K45" i="3"/>
  <c r="D188" i="4" s="1"/>
  <c r="E187" i="4"/>
  <c r="K44" i="3"/>
  <c r="D187" i="4" s="1"/>
  <c r="E186" i="4"/>
  <c r="K43" i="3"/>
  <c r="D186" i="4" s="1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E173" i="4"/>
  <c r="K18" i="3"/>
  <c r="D173" i="4" s="1"/>
  <c r="E172" i="4"/>
  <c r="K17" i="3"/>
  <c r="D172" i="4" s="1"/>
  <c r="E171" i="4"/>
  <c r="K16" i="3"/>
  <c r="D171" i="4" s="1"/>
  <c r="K15" i="3"/>
  <c r="E169" i="4"/>
  <c r="K14" i="3"/>
  <c r="D169" i="4" s="1"/>
  <c r="E168" i="4"/>
  <c r="K13" i="3"/>
  <c r="D168" i="4" s="1"/>
  <c r="E167" i="4"/>
  <c r="K12" i="3"/>
  <c r="D167" i="4" s="1"/>
  <c r="K11" i="3"/>
  <c r="E165" i="4"/>
  <c r="K10" i="3"/>
  <c r="D165" i="4" s="1"/>
  <c r="K9" i="3"/>
  <c r="K8" i="3"/>
  <c r="K7" i="3"/>
  <c r="E569" i="4"/>
  <c r="E561" i="4"/>
  <c r="E353" i="4"/>
  <c r="E554" i="4"/>
  <c r="E474" i="4"/>
  <c r="E435" i="4"/>
  <c r="K6" i="3"/>
  <c r="E541" i="4"/>
  <c r="K270" i="2"/>
  <c r="D541" i="4" s="1"/>
  <c r="E540" i="4"/>
  <c r="K269" i="2"/>
  <c r="D540" i="4" s="1"/>
  <c r="E539" i="4"/>
  <c r="K268" i="2"/>
  <c r="D539" i="4" s="1"/>
  <c r="E538" i="4"/>
  <c r="K267" i="2"/>
  <c r="D538" i="4" s="1"/>
  <c r="E537" i="4"/>
  <c r="K266" i="2"/>
  <c r="D537" i="4" s="1"/>
  <c r="E536" i="4"/>
  <c r="K265" i="2"/>
  <c r="D536" i="4" s="1"/>
  <c r="E535" i="4"/>
  <c r="K264" i="2"/>
  <c r="D535" i="4" s="1"/>
  <c r="E534" i="4"/>
  <c r="K263" i="2"/>
  <c r="D534" i="4" s="1"/>
  <c r="E532" i="4"/>
  <c r="K261" i="2"/>
  <c r="D532" i="4" s="1"/>
  <c r="E530" i="4"/>
  <c r="K259" i="2"/>
  <c r="D530" i="4" s="1"/>
  <c r="E529" i="4"/>
  <c r="K258" i="2"/>
  <c r="D529" i="4" s="1"/>
  <c r="E528" i="4"/>
  <c r="K257" i="2"/>
  <c r="D528" i="4" s="1"/>
  <c r="E527" i="4"/>
  <c r="K256" i="2"/>
  <c r="D527" i="4" s="1"/>
  <c r="E526" i="4"/>
  <c r="K255" i="2"/>
  <c r="D526" i="4" s="1"/>
  <c r="E525" i="4"/>
  <c r="K254" i="2"/>
  <c r="D525" i="4" s="1"/>
  <c r="E524" i="4"/>
  <c r="K253" i="2"/>
  <c r="D524" i="4" s="1"/>
  <c r="E522" i="4"/>
  <c r="K251" i="2"/>
  <c r="D522" i="4" s="1"/>
  <c r="E521" i="4"/>
  <c r="K250" i="2"/>
  <c r="D521" i="4" s="1"/>
  <c r="E519" i="4"/>
  <c r="K248" i="2"/>
  <c r="D519" i="4" s="1"/>
  <c r="E517" i="4"/>
  <c r="E101" i="1" s="1"/>
  <c r="K246" i="2"/>
  <c r="D517" i="4" s="1"/>
  <c r="E512" i="4"/>
  <c r="E95" i="1" s="1"/>
  <c r="K244" i="2"/>
  <c r="D512" i="4" s="1"/>
  <c r="E502" i="4"/>
  <c r="K243" i="2"/>
  <c r="D502" i="4" s="1"/>
  <c r="E501" i="4"/>
  <c r="K242" i="2"/>
  <c r="D501" i="4" s="1"/>
  <c r="E500" i="4"/>
  <c r="K241" i="2"/>
  <c r="D500" i="4" s="1"/>
  <c r="E499" i="4"/>
  <c r="K240" i="2"/>
  <c r="D499" i="4" s="1"/>
  <c r="E498" i="4"/>
  <c r="K239" i="2"/>
  <c r="D498" i="4" s="1"/>
  <c r="K237" i="2"/>
  <c r="K236" i="2"/>
  <c r="K235" i="2"/>
  <c r="K233" i="2"/>
  <c r="K232" i="2"/>
  <c r="E494" i="4"/>
  <c r="K230" i="2"/>
  <c r="D494" i="4" s="1"/>
  <c r="K228" i="2"/>
  <c r="K227" i="2"/>
  <c r="K226" i="2"/>
  <c r="K224" i="2"/>
  <c r="K223" i="2"/>
  <c r="K222" i="2"/>
  <c r="K220" i="2"/>
  <c r="K219" i="2"/>
  <c r="K218" i="2"/>
  <c r="E153" i="4"/>
  <c r="E33" i="1" s="1"/>
  <c r="K215" i="2"/>
  <c r="D153" i="4" s="1"/>
  <c r="E152" i="4"/>
  <c r="K214" i="2"/>
  <c r="D152" i="4" s="1"/>
  <c r="E151" i="4"/>
  <c r="K213" i="2"/>
  <c r="D151" i="4" s="1"/>
  <c r="E150" i="4"/>
  <c r="K212" i="2"/>
  <c r="D150" i="4" s="1"/>
  <c r="E149" i="4"/>
  <c r="K211" i="2"/>
  <c r="D149" i="4" s="1"/>
  <c r="E148" i="4"/>
  <c r="K210" i="2"/>
  <c r="D148" i="4" s="1"/>
  <c r="E147" i="4"/>
  <c r="K209" i="2"/>
  <c r="D147" i="4" s="1"/>
  <c r="E145" i="4"/>
  <c r="K207" i="2"/>
  <c r="D145" i="4" s="1"/>
  <c r="E144" i="4"/>
  <c r="K206" i="2"/>
  <c r="D144" i="4" s="1"/>
  <c r="E143" i="4"/>
  <c r="K205" i="2"/>
  <c r="D143" i="4" s="1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E140" i="4"/>
  <c r="K189" i="2"/>
  <c r="D140" i="4" s="1"/>
  <c r="E139" i="4"/>
  <c r="K188" i="2"/>
  <c r="D139" i="4" s="1"/>
  <c r="E138" i="4"/>
  <c r="K187" i="2"/>
  <c r="D138" i="4" s="1"/>
  <c r="E137" i="4"/>
  <c r="K186" i="2"/>
  <c r="D137" i="4" s="1"/>
  <c r="K183" i="2"/>
  <c r="K182" i="2"/>
  <c r="K181" i="2"/>
  <c r="K180" i="2"/>
  <c r="K179" i="2"/>
  <c r="K178" i="2"/>
  <c r="E133" i="4"/>
  <c r="K176" i="2"/>
  <c r="D133" i="4" s="1"/>
  <c r="E132" i="4"/>
  <c r="K175" i="2"/>
  <c r="D132" i="4" s="1"/>
  <c r="E130" i="4"/>
  <c r="K173" i="2"/>
  <c r="D130" i="4" s="1"/>
  <c r="K172" i="2"/>
  <c r="K171" i="2"/>
  <c r="K170" i="2"/>
  <c r="E128" i="4"/>
  <c r="K168" i="2"/>
  <c r="D128" i="4" s="1"/>
  <c r="E127" i="4"/>
  <c r="K167" i="2"/>
  <c r="D127" i="4" s="1"/>
  <c r="E125" i="4"/>
  <c r="K165" i="2"/>
  <c r="D125" i="4" s="1"/>
  <c r="E124" i="4"/>
  <c r="K164" i="2"/>
  <c r="D124" i="4" s="1"/>
  <c r="E122" i="4"/>
  <c r="K162" i="2"/>
  <c r="D122" i="4" s="1"/>
  <c r="E120" i="4"/>
  <c r="K160" i="2"/>
  <c r="D120" i="4" s="1"/>
  <c r="E119" i="4"/>
  <c r="K159" i="2"/>
  <c r="D119" i="4" s="1"/>
  <c r="E118" i="4"/>
  <c r="K158" i="2"/>
  <c r="D118" i="4" s="1"/>
  <c r="E117" i="4"/>
  <c r="K157" i="2"/>
  <c r="D117" i="4" s="1"/>
  <c r="E116" i="4"/>
  <c r="K156" i="2"/>
  <c r="D116" i="4" s="1"/>
  <c r="E115" i="4"/>
  <c r="K155" i="2"/>
  <c r="D115" i="4" s="1"/>
  <c r="E114" i="4"/>
  <c r="K154" i="2"/>
  <c r="D114" i="4" s="1"/>
  <c r="K152" i="2"/>
  <c r="K151" i="2"/>
  <c r="K149" i="2"/>
  <c r="K148" i="2"/>
  <c r="K147" i="2"/>
  <c r="K146" i="2"/>
  <c r="K145" i="2"/>
  <c r="K144" i="2"/>
  <c r="K143" i="2"/>
  <c r="K142" i="2"/>
  <c r="K141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4" i="2"/>
  <c r="K123" i="2"/>
  <c r="K122" i="2"/>
  <c r="K121" i="2"/>
  <c r="K120" i="2"/>
  <c r="K119" i="2"/>
  <c r="K118" i="2"/>
  <c r="E111" i="4"/>
  <c r="K115" i="2"/>
  <c r="D111" i="4" s="1"/>
  <c r="E110" i="4"/>
  <c r="K114" i="2"/>
  <c r="D110" i="4" s="1"/>
  <c r="E109" i="4"/>
  <c r="K113" i="2"/>
  <c r="D109" i="4" s="1"/>
  <c r="E108" i="4"/>
  <c r="K112" i="2"/>
  <c r="D108" i="4" s="1"/>
  <c r="E107" i="4"/>
  <c r="K111" i="2"/>
  <c r="D107" i="4" s="1"/>
  <c r="E105" i="4"/>
  <c r="K109" i="2"/>
  <c r="D105" i="4" s="1"/>
  <c r="E104" i="4"/>
  <c r="K108" i="2"/>
  <c r="D104" i="4" s="1"/>
  <c r="E103" i="4"/>
  <c r="K107" i="2"/>
  <c r="D103" i="4" s="1"/>
  <c r="K106" i="2"/>
  <c r="K105" i="2"/>
  <c r="K104" i="2"/>
  <c r="K103" i="2"/>
  <c r="E101" i="4"/>
  <c r="K101" i="2"/>
  <c r="D101" i="4" s="1"/>
  <c r="E99" i="4"/>
  <c r="K99" i="2"/>
  <c r="D99" i="4" s="1"/>
  <c r="E98" i="4"/>
  <c r="K98" i="2"/>
  <c r="D98" i="4" s="1"/>
  <c r="E97" i="4"/>
  <c r="K97" i="2"/>
  <c r="D97" i="4" s="1"/>
  <c r="E96" i="4"/>
  <c r="K96" i="2"/>
  <c r="D96" i="4" s="1"/>
  <c r="E95" i="4"/>
  <c r="K95" i="2"/>
  <c r="D95" i="4" s="1"/>
  <c r="E94" i="4"/>
  <c r="K94" i="2"/>
  <c r="D94" i="4" s="1"/>
  <c r="E93" i="4"/>
  <c r="K93" i="2"/>
  <c r="D93" i="4" s="1"/>
  <c r="E92" i="4"/>
  <c r="K92" i="2"/>
  <c r="D92" i="4" s="1"/>
  <c r="E91" i="4"/>
  <c r="K91" i="2"/>
  <c r="D91" i="4" s="1"/>
  <c r="E90" i="4"/>
  <c r="K90" i="2"/>
  <c r="D90" i="4" s="1"/>
  <c r="E89" i="4"/>
  <c r="K89" i="2"/>
  <c r="D89" i="4" s="1"/>
  <c r="E88" i="4"/>
  <c r="K88" i="2"/>
  <c r="D88" i="4" s="1"/>
  <c r="E87" i="4"/>
  <c r="K87" i="2"/>
  <c r="D87" i="4" s="1"/>
  <c r="E86" i="4"/>
  <c r="K85" i="2"/>
  <c r="D86" i="4" s="1"/>
  <c r="E84" i="4"/>
  <c r="K82" i="2"/>
  <c r="D84" i="4" s="1"/>
  <c r="K81" i="2"/>
  <c r="K80" i="2"/>
  <c r="E82" i="4"/>
  <c r="K78" i="2"/>
  <c r="D82" i="4" s="1"/>
  <c r="E81" i="4"/>
  <c r="K77" i="2"/>
  <c r="D81" i="4" s="1"/>
  <c r="E80" i="4"/>
  <c r="K76" i="2"/>
  <c r="D80" i="4" s="1"/>
  <c r="E79" i="4"/>
  <c r="K75" i="2"/>
  <c r="D79" i="4" s="1"/>
  <c r="E78" i="4"/>
  <c r="K74" i="2"/>
  <c r="D78" i="4" s="1"/>
  <c r="E77" i="4"/>
  <c r="K73" i="2"/>
  <c r="D77" i="4" s="1"/>
  <c r="E76" i="4"/>
  <c r="K72" i="2"/>
  <c r="D76" i="4" s="1"/>
  <c r="E75" i="4"/>
  <c r="K71" i="2"/>
  <c r="D75" i="4" s="1"/>
  <c r="E74" i="4"/>
  <c r="K70" i="2"/>
  <c r="D74" i="4" s="1"/>
  <c r="E73" i="4"/>
  <c r="K69" i="2"/>
  <c r="D73" i="4" s="1"/>
  <c r="E72" i="4"/>
  <c r="K68" i="2"/>
  <c r="D72" i="4" s="1"/>
  <c r="E71" i="4"/>
  <c r="K67" i="2"/>
  <c r="D71" i="4" s="1"/>
  <c r="K66" i="2"/>
  <c r="K65" i="2"/>
  <c r="K63" i="2"/>
  <c r="K62" i="2"/>
  <c r="E65" i="4"/>
  <c r="K57" i="2"/>
  <c r="D65" i="4" s="1"/>
  <c r="E64" i="4"/>
  <c r="K56" i="2"/>
  <c r="D64" i="4" s="1"/>
  <c r="E63" i="4"/>
  <c r="K55" i="2"/>
  <c r="D63" i="4" s="1"/>
  <c r="E62" i="4"/>
  <c r="K54" i="2"/>
  <c r="D62" i="4" s="1"/>
  <c r="E61" i="4"/>
  <c r="K53" i="2"/>
  <c r="E59" i="4"/>
  <c r="K51" i="2"/>
  <c r="D59" i="4" s="1"/>
  <c r="E58" i="4"/>
  <c r="K50" i="2"/>
  <c r="E56" i="4"/>
  <c r="E23" i="1" s="1"/>
  <c r="K48" i="2"/>
  <c r="D56" i="4" s="1"/>
  <c r="E55" i="4"/>
  <c r="E22" i="1" s="1"/>
  <c r="K47" i="2"/>
  <c r="D55" i="4" s="1"/>
  <c r="K46" i="2"/>
  <c r="K45" i="2"/>
  <c r="E53" i="4"/>
  <c r="E20" i="1" s="1"/>
  <c r="K43" i="2"/>
  <c r="D53" i="4" s="1"/>
  <c r="E52" i="4"/>
  <c r="E19" i="1" s="1"/>
  <c r="K42" i="2"/>
  <c r="D52" i="4" s="1"/>
  <c r="E50" i="4"/>
  <c r="K40" i="2"/>
  <c r="D50" i="4" s="1"/>
  <c r="E49" i="4"/>
  <c r="K39" i="2"/>
  <c r="D49" i="4" s="1"/>
  <c r="E48" i="4"/>
  <c r="K38" i="2"/>
  <c r="D48" i="4" s="1"/>
  <c r="K37" i="2"/>
  <c r="K36" i="2"/>
  <c r="K35" i="2"/>
  <c r="K34" i="2"/>
  <c r="K33" i="2"/>
  <c r="K32" i="2"/>
  <c r="E46" i="4"/>
  <c r="K30" i="2"/>
  <c r="D46" i="4" s="1"/>
  <c r="E44" i="4"/>
  <c r="K28" i="2"/>
  <c r="D44" i="4" s="1"/>
  <c r="E43" i="4"/>
  <c r="K27" i="2"/>
  <c r="D43" i="4" s="1"/>
  <c r="E41" i="4"/>
  <c r="E15" i="1" s="1"/>
  <c r="K25" i="2"/>
  <c r="D41" i="4" s="1"/>
  <c r="E40" i="4"/>
  <c r="E14" i="1" s="1"/>
  <c r="K24" i="2"/>
  <c r="D40" i="4" s="1"/>
  <c r="E39" i="4"/>
  <c r="E13" i="1" s="1"/>
  <c r="K23" i="2"/>
  <c r="D39" i="4" s="1"/>
  <c r="K22" i="2"/>
  <c r="K21" i="2"/>
  <c r="K20" i="2"/>
  <c r="K19" i="2"/>
  <c r="K18" i="2"/>
  <c r="K17" i="2"/>
  <c r="E35" i="4"/>
  <c r="K13" i="2"/>
  <c r="D35" i="4" s="1"/>
  <c r="E34" i="4"/>
  <c r="K11" i="2"/>
  <c r="D34" i="4" s="1"/>
  <c r="E33" i="4"/>
  <c r="K10" i="2"/>
  <c r="D33" i="4" s="1"/>
  <c r="E32" i="4"/>
  <c r="K9" i="2"/>
  <c r="D32" i="4" s="1"/>
  <c r="E30" i="4"/>
  <c r="K7" i="2"/>
  <c r="D30" i="4" s="1"/>
  <c r="E29" i="4"/>
  <c r="K6" i="2"/>
  <c r="D29" i="4" s="1"/>
  <c r="M271" i="2"/>
  <c r="E579" i="4"/>
  <c r="E113" i="1" s="1"/>
  <c r="E550" i="4"/>
  <c r="E549" i="4"/>
  <c r="E504" i="4"/>
  <c r="E467" i="4"/>
  <c r="D214" i="24" l="1"/>
  <c r="L154" i="23"/>
  <c r="K167" i="23"/>
  <c r="L128" i="23"/>
  <c r="L153" i="23"/>
  <c r="L111" i="23"/>
  <c r="L56" i="23"/>
  <c r="J123" i="23"/>
  <c r="L139" i="23"/>
  <c r="L167" i="23"/>
  <c r="L163" i="23"/>
  <c r="L151" i="23"/>
  <c r="L22" i="23"/>
  <c r="K89" i="23"/>
  <c r="L23" i="23"/>
  <c r="K61" i="23"/>
  <c r="L61" i="23" s="1"/>
  <c r="L25" i="23"/>
  <c r="L89" i="23"/>
  <c r="E181" i="24"/>
  <c r="J77" i="23" s="1"/>
  <c r="L67" i="23"/>
  <c r="D464" i="4"/>
  <c r="E238" i="24"/>
  <c r="E340" i="24" s="1"/>
  <c r="K49" i="23"/>
  <c r="E31" i="24"/>
  <c r="K14" i="23"/>
  <c r="I52" i="23"/>
  <c r="K52" i="23" s="1"/>
  <c r="L52" i="23" s="1"/>
  <c r="K146" i="23"/>
  <c r="K12" i="23"/>
  <c r="L12" i="23" s="1"/>
  <c r="K148" i="23"/>
  <c r="C34" i="27" s="1"/>
  <c r="J48" i="23"/>
  <c r="K48" i="23" s="1"/>
  <c r="C38" i="27" s="1"/>
  <c r="I157" i="23"/>
  <c r="J66" i="23"/>
  <c r="K66" i="23" s="1"/>
  <c r="K69" i="23"/>
  <c r="C101" i="27" s="1"/>
  <c r="C103" i="27" s="1"/>
  <c r="D61" i="4"/>
  <c r="E62" i="24"/>
  <c r="E58" i="24" s="1"/>
  <c r="J18" i="23"/>
  <c r="I134" i="23"/>
  <c r="K134" i="23" s="1"/>
  <c r="I109" i="23"/>
  <c r="I123" i="23" s="1"/>
  <c r="K123" i="23" s="1"/>
  <c r="E275" i="24"/>
  <c r="K10" i="23"/>
  <c r="K120" i="23"/>
  <c r="J7" i="23"/>
  <c r="K149" i="23"/>
  <c r="C31" i="27" s="1"/>
  <c r="J60" i="23"/>
  <c r="K60" i="23" s="1"/>
  <c r="J130" i="23"/>
  <c r="K21" i="23"/>
  <c r="L21" i="23" s="1"/>
  <c r="K119" i="23"/>
  <c r="L119" i="23" s="1"/>
  <c r="D58" i="4"/>
  <c r="D57" i="4" s="1"/>
  <c r="K42" i="23"/>
  <c r="L42" i="23" s="1"/>
  <c r="C22" i="27"/>
  <c r="I73" i="23"/>
  <c r="K73" i="23" s="1"/>
  <c r="L73" i="23" s="1"/>
  <c r="K19" i="23"/>
  <c r="L19" i="23" s="1"/>
  <c r="D145" i="24"/>
  <c r="K75" i="23"/>
  <c r="J34" i="23"/>
  <c r="L36" i="23"/>
  <c r="D62" i="24"/>
  <c r="D58" i="24" s="1"/>
  <c r="I18" i="23"/>
  <c r="E101" i="24"/>
  <c r="E95" i="24" s="1"/>
  <c r="C13" i="27"/>
  <c r="C14" i="27" s="1"/>
  <c r="C15" i="27"/>
  <c r="C16" i="27" s="1"/>
  <c r="C7" i="27"/>
  <c r="C19" i="27"/>
  <c r="C20" i="27" s="1"/>
  <c r="C21" i="27" s="1"/>
  <c r="C8" i="27"/>
  <c r="D440" i="4"/>
  <c r="C6" i="27"/>
  <c r="D585" i="4"/>
  <c r="J90" i="23"/>
  <c r="I36" i="23"/>
  <c r="D101" i="24"/>
  <c r="D95" i="24" s="1"/>
  <c r="J29" i="23"/>
  <c r="L30" i="23"/>
  <c r="I141" i="23"/>
  <c r="K142" i="23"/>
  <c r="L142" i="23" s="1"/>
  <c r="I7" i="23"/>
  <c r="K8" i="23"/>
  <c r="I59" i="23"/>
  <c r="K157" i="23"/>
  <c r="C36" i="27" s="1"/>
  <c r="I159" i="23"/>
  <c r="J155" i="23"/>
  <c r="I126" i="23"/>
  <c r="D238" i="24"/>
  <c r="C113" i="27"/>
  <c r="K81" i="23"/>
  <c r="L81" i="23" s="1"/>
  <c r="L14" i="23"/>
  <c r="I47" i="23"/>
  <c r="D31" i="24"/>
  <c r="D295" i="24"/>
  <c r="D275" i="24" s="1"/>
  <c r="I40" i="23"/>
  <c r="L157" i="23"/>
  <c r="J159" i="23"/>
  <c r="K94" i="23"/>
  <c r="I98" i="23"/>
  <c r="J41" i="23"/>
  <c r="K41" i="23" s="1"/>
  <c r="C52" i="27" s="1"/>
  <c r="C54" i="27" s="1"/>
  <c r="E109" i="24"/>
  <c r="L123" i="23"/>
  <c r="L79" i="23"/>
  <c r="J78" i="23"/>
  <c r="L78" i="23" s="1"/>
  <c r="K88" i="23"/>
  <c r="C55" i="27" s="1"/>
  <c r="I90" i="23"/>
  <c r="K90" i="23" s="1"/>
  <c r="K109" i="23"/>
  <c r="L109" i="23" s="1"/>
  <c r="D128" i="24"/>
  <c r="D108" i="24" s="1"/>
  <c r="J72" i="23"/>
  <c r="D200" i="24"/>
  <c r="I29" i="23"/>
  <c r="K30" i="23"/>
  <c r="I78" i="23"/>
  <c r="K79" i="23"/>
  <c r="J98" i="23"/>
  <c r="L94" i="23"/>
  <c r="D382" i="4"/>
  <c r="D506" i="4"/>
  <c r="D503" i="4" s="1"/>
  <c r="E413" i="4"/>
  <c r="E412" i="4"/>
  <c r="D412" i="4"/>
  <c r="E156" i="4"/>
  <c r="D15" i="1"/>
  <c r="F15" i="1" s="1"/>
  <c r="D101" i="1"/>
  <c r="F101" i="1" s="1"/>
  <c r="D19" i="1"/>
  <c r="F19" i="1" s="1"/>
  <c r="D22" i="1"/>
  <c r="F22" i="1" s="1"/>
  <c r="G22" i="1" s="1"/>
  <c r="D20" i="1"/>
  <c r="F20" i="1" s="1"/>
  <c r="D33" i="1"/>
  <c r="F33" i="1" s="1"/>
  <c r="D13" i="1"/>
  <c r="F13" i="1" s="1"/>
  <c r="D23" i="1"/>
  <c r="F23" i="1" s="1"/>
  <c r="G23" i="1" s="1"/>
  <c r="D14" i="1"/>
  <c r="F14" i="1" s="1"/>
  <c r="G14" i="1" s="1"/>
  <c r="D95" i="1"/>
  <c r="F95" i="1" s="1"/>
  <c r="D113" i="1"/>
  <c r="D96" i="1"/>
  <c r="F96" i="1" s="1"/>
  <c r="D114" i="1"/>
  <c r="F114" i="1" s="1"/>
  <c r="G114" i="1" s="1"/>
  <c r="D104" i="1"/>
  <c r="F104" i="1" s="1"/>
  <c r="D112" i="1"/>
  <c r="F112" i="1" s="1"/>
  <c r="G112" i="1" s="1"/>
  <c r="D58" i="1"/>
  <c r="F58" i="1" s="1"/>
  <c r="D115" i="1"/>
  <c r="F115" i="1" s="1"/>
  <c r="D117" i="1"/>
  <c r="F117" i="1" s="1"/>
  <c r="F113" i="1"/>
  <c r="G113" i="1" s="1"/>
  <c r="E54" i="4"/>
  <c r="E21" i="1" s="1"/>
  <c r="E18" i="1" s="1"/>
  <c r="E83" i="4"/>
  <c r="D54" i="4"/>
  <c r="E70" i="4"/>
  <c r="D156" i="4"/>
  <c r="E349" i="4"/>
  <c r="E382" i="4"/>
  <c r="E210" i="4"/>
  <c r="E209" i="4" s="1"/>
  <c r="E43" i="1" s="1"/>
  <c r="D179" i="4"/>
  <c r="D214" i="4"/>
  <c r="D178" i="4"/>
  <c r="D182" i="4"/>
  <c r="D184" i="4"/>
  <c r="D192" i="4"/>
  <c r="E194" i="4"/>
  <c r="E247" i="4"/>
  <c r="E243" i="4" s="1"/>
  <c r="E47" i="1" s="1"/>
  <c r="D265" i="4"/>
  <c r="E338" i="4"/>
  <c r="D341" i="4"/>
  <c r="E177" i="4"/>
  <c r="E377" i="4"/>
  <c r="E383" i="4"/>
  <c r="D236" i="4"/>
  <c r="D349" i="4"/>
  <c r="E478" i="4"/>
  <c r="E473" i="4" s="1"/>
  <c r="E83" i="1" s="1"/>
  <c r="E175" i="4"/>
  <c r="E179" i="4"/>
  <c r="E192" i="4"/>
  <c r="E197" i="4"/>
  <c r="E214" i="4"/>
  <c r="D383" i="4"/>
  <c r="E236" i="4"/>
  <c r="D398" i="4"/>
  <c r="E398" i="4"/>
  <c r="E249" i="4"/>
  <c r="E290" i="4"/>
  <c r="E242" i="4"/>
  <c r="E238" i="4" s="1"/>
  <c r="E46" i="1" s="1"/>
  <c r="D286" i="4"/>
  <c r="E288" i="4"/>
  <c r="D296" i="4"/>
  <c r="D316" i="4"/>
  <c r="E355" i="4"/>
  <c r="D175" i="4"/>
  <c r="E312" i="4"/>
  <c r="D470" i="4"/>
  <c r="E506" i="4"/>
  <c r="E503" i="4" s="1"/>
  <c r="E176" i="4"/>
  <c r="D177" i="4"/>
  <c r="D181" i="4"/>
  <c r="D249" i="4"/>
  <c r="D290" i="4"/>
  <c r="D69" i="4"/>
  <c r="D83" i="4"/>
  <c r="E69" i="4"/>
  <c r="D495" i="4"/>
  <c r="D155" i="4"/>
  <c r="E102" i="4"/>
  <c r="E100" i="4" s="1"/>
  <c r="E85" i="4" s="1"/>
  <c r="E472" i="4"/>
  <c r="E82" i="1" s="1"/>
  <c r="E370" i="4"/>
  <c r="E196" i="4"/>
  <c r="D197" i="4"/>
  <c r="D305" i="4"/>
  <c r="D180" i="4"/>
  <c r="E184" i="4"/>
  <c r="D185" i="4"/>
  <c r="D242" i="4"/>
  <c r="E286" i="4"/>
  <c r="D288" i="4"/>
  <c r="E341" i="4"/>
  <c r="D377" i="4"/>
  <c r="E433" i="4"/>
  <c r="D472" i="4"/>
  <c r="E180" i="4"/>
  <c r="D338" i="4"/>
  <c r="E374" i="4"/>
  <c r="D391" i="4"/>
  <c r="E395" i="4"/>
  <c r="D426" i="4"/>
  <c r="E181" i="4"/>
  <c r="D210" i="4"/>
  <c r="D395" i="4"/>
  <c r="D164" i="4"/>
  <c r="E442" i="4"/>
  <c r="E75" i="1" s="1"/>
  <c r="E163" i="4"/>
  <c r="D247" i="4"/>
  <c r="E305" i="4"/>
  <c r="D297" i="4"/>
  <c r="E111" i="1"/>
  <c r="E97" i="1"/>
  <c r="E495" i="4"/>
  <c r="D195" i="4"/>
  <c r="E281" i="4"/>
  <c r="E277" i="4" s="1"/>
  <c r="E296" i="4"/>
  <c r="D312" i="4"/>
  <c r="E350" i="4"/>
  <c r="D370" i="4"/>
  <c r="E417" i="4"/>
  <c r="E204" i="4"/>
  <c r="D220" i="4"/>
  <c r="D380" i="4"/>
  <c r="E416" i="4"/>
  <c r="E164" i="4"/>
  <c r="D176" i="4"/>
  <c r="E178" i="4"/>
  <c r="E182" i="4"/>
  <c r="E295" i="4"/>
  <c r="E298" i="4"/>
  <c r="D407" i="4"/>
  <c r="E407" i="4"/>
  <c r="D425" i="4"/>
  <c r="D432" i="4"/>
  <c r="D163" i="4"/>
  <c r="D193" i="4"/>
  <c r="E198" i="4"/>
  <c r="D198" i="4"/>
  <c r="D206" i="4"/>
  <c r="E265" i="4"/>
  <c r="E264" i="4" s="1"/>
  <c r="E50" i="1" s="1"/>
  <c r="D295" i="4"/>
  <c r="D343" i="4"/>
  <c r="D399" i="4"/>
  <c r="E404" i="4"/>
  <c r="E422" i="4"/>
  <c r="E429" i="4"/>
  <c r="D478" i="4"/>
  <c r="E193" i="4"/>
  <c r="D194" i="4"/>
  <c r="D237" i="4"/>
  <c r="E304" i="4"/>
  <c r="D313" i="4"/>
  <c r="E343" i="4"/>
  <c r="D359" i="4"/>
  <c r="E426" i="4"/>
  <c r="D444" i="4"/>
  <c r="E237" i="4"/>
  <c r="E313" i="4"/>
  <c r="E325" i="4"/>
  <c r="E321" i="4" s="1"/>
  <c r="E57" i="1" s="1"/>
  <c r="E394" i="4"/>
  <c r="D442" i="4"/>
  <c r="E185" i="4"/>
  <c r="D196" i="4"/>
  <c r="D205" i="4"/>
  <c r="E205" i="4"/>
  <c r="D325" i="4"/>
  <c r="D403" i="4"/>
  <c r="D437" i="4"/>
  <c r="D445" i="4"/>
  <c r="E195" i="4"/>
  <c r="E203" i="4"/>
  <c r="D203" i="4"/>
  <c r="D204" i="4"/>
  <c r="E206" i="4"/>
  <c r="E220" i="4"/>
  <c r="D281" i="4"/>
  <c r="E289" i="4"/>
  <c r="D289" i="4"/>
  <c r="E297" i="4"/>
  <c r="D298" i="4"/>
  <c r="D304" i="4"/>
  <c r="E314" i="4"/>
  <c r="D314" i="4"/>
  <c r="E316" i="4"/>
  <c r="D350" i="4"/>
  <c r="D355" i="4"/>
  <c r="E359" i="4"/>
  <c r="D374" i="4"/>
  <c r="E380" i="4"/>
  <c r="E378" i="4" s="1"/>
  <c r="E390" i="4"/>
  <c r="D390" i="4"/>
  <c r="E391" i="4"/>
  <c r="D394" i="4"/>
  <c r="E399" i="4"/>
  <c r="E403" i="4"/>
  <c r="D404" i="4"/>
  <c r="D408" i="4"/>
  <c r="E408" i="4"/>
  <c r="D416" i="4"/>
  <c r="D417" i="4"/>
  <c r="E421" i="4"/>
  <c r="D421" i="4"/>
  <c r="D422" i="4"/>
  <c r="E425" i="4"/>
  <c r="D429" i="4"/>
  <c r="E432" i="4"/>
  <c r="D433" i="4"/>
  <c r="E437" i="4"/>
  <c r="E73" i="1" s="1"/>
  <c r="E444" i="4"/>
  <c r="E445" i="4"/>
  <c r="E470" i="4"/>
  <c r="E464" i="4" s="1"/>
  <c r="E81" i="1" s="1"/>
  <c r="D344" i="4"/>
  <c r="D548" i="4"/>
  <c r="D271" i="4"/>
  <c r="D514" i="4"/>
  <c r="D480" i="4"/>
  <c r="D456" i="4"/>
  <c r="D496" i="4"/>
  <c r="D47" i="4"/>
  <c r="D157" i="4"/>
  <c r="D70" i="4"/>
  <c r="D129" i="4"/>
  <c r="E134" i="4"/>
  <c r="E131" i="4" s="1"/>
  <c r="E496" i="4"/>
  <c r="D112" i="4"/>
  <c r="E112" i="4"/>
  <c r="D102" i="4"/>
  <c r="E155" i="4"/>
  <c r="E47" i="4"/>
  <c r="E45" i="4" s="1"/>
  <c r="E17" i="1" s="1"/>
  <c r="E38" i="4"/>
  <c r="E12" i="1" s="1"/>
  <c r="E129" i="4"/>
  <c r="E126" i="4" s="1"/>
  <c r="E157" i="4"/>
  <c r="D141" i="4"/>
  <c r="E141" i="4"/>
  <c r="N271" i="2"/>
  <c r="D38" i="4"/>
  <c r="D134" i="4"/>
  <c r="D42" i="4"/>
  <c r="E42" i="4"/>
  <c r="E16" i="1" s="1"/>
  <c r="D31" i="4"/>
  <c r="K271" i="2"/>
  <c r="D123" i="4"/>
  <c r="D136" i="4"/>
  <c r="D283" i="4"/>
  <c r="E166" i="4"/>
  <c r="D361" i="4"/>
  <c r="D507" i="4"/>
  <c r="D565" i="4"/>
  <c r="D60" i="4"/>
  <c r="E317" i="4"/>
  <c r="E31" i="4"/>
  <c r="E28" i="4" s="1"/>
  <c r="E27" i="4" s="1"/>
  <c r="E10" i="1" s="1"/>
  <c r="E548" i="4"/>
  <c r="D166" i="4"/>
  <c r="D317" i="4"/>
  <c r="D365" i="4"/>
  <c r="D252" i="4"/>
  <c r="D170" i="4"/>
  <c r="D447" i="4"/>
  <c r="D523" i="4"/>
  <c r="D577" i="4"/>
  <c r="E283" i="4"/>
  <c r="D334" i="4"/>
  <c r="D258" i="4"/>
  <c r="D439" i="4"/>
  <c r="D582" i="4"/>
  <c r="E334" i="4"/>
  <c r="D221" i="4"/>
  <c r="D497" i="4"/>
  <c r="D553" i="4"/>
  <c r="D146" i="4"/>
  <c r="D533" i="4"/>
  <c r="D113" i="4"/>
  <c r="D106" i="4"/>
  <c r="D142" i="4"/>
  <c r="E553" i="4"/>
  <c r="E551" i="4" s="1"/>
  <c r="E565" i="4"/>
  <c r="E562" i="4" s="1"/>
  <c r="E577" i="4"/>
  <c r="E170" i="4"/>
  <c r="E258" i="4"/>
  <c r="E49" i="1" s="1"/>
  <c r="E344" i="4"/>
  <c r="E365" i="4"/>
  <c r="E62" i="1" s="1"/>
  <c r="E142" i="4"/>
  <c r="E31" i="1" s="1"/>
  <c r="E497" i="4"/>
  <c r="E106" i="4"/>
  <c r="E57" i="4"/>
  <c r="E24" i="1" s="1"/>
  <c r="E123" i="4"/>
  <c r="E60" i="4"/>
  <c r="E25" i="1" s="1"/>
  <c r="E136" i="4"/>
  <c r="E439" i="4"/>
  <c r="E456" i="4"/>
  <c r="E79" i="1" s="1"/>
  <c r="E507" i="4"/>
  <c r="E533" i="4"/>
  <c r="E531" i="4" s="1"/>
  <c r="E146" i="4"/>
  <c r="E32" i="1" s="1"/>
  <c r="E361" i="4"/>
  <c r="E514" i="4"/>
  <c r="E523" i="4"/>
  <c r="E520" i="4" s="1"/>
  <c r="E480" i="4"/>
  <c r="E84" i="1" s="1"/>
  <c r="E582" i="4"/>
  <c r="E116" i="1" s="1"/>
  <c r="E252" i="4"/>
  <c r="E271" i="4"/>
  <c r="E51" i="1" s="1"/>
  <c r="E447" i="4"/>
  <c r="E78" i="1" s="1"/>
  <c r="E221" i="4"/>
  <c r="E113" i="4"/>
  <c r="E28" i="1" s="1"/>
  <c r="L149" i="23" l="1"/>
  <c r="L159" i="23"/>
  <c r="L148" i="23"/>
  <c r="E128" i="24"/>
  <c r="L88" i="23"/>
  <c r="L66" i="23"/>
  <c r="E108" i="24"/>
  <c r="L90" i="23"/>
  <c r="K77" i="23"/>
  <c r="L77" i="23" s="1"/>
  <c r="D340" i="24"/>
  <c r="L48" i="23"/>
  <c r="J47" i="23"/>
  <c r="I72" i="23"/>
  <c r="E30" i="24"/>
  <c r="J161" i="23"/>
  <c r="K78" i="23"/>
  <c r="J59" i="23"/>
  <c r="K59" i="23" s="1"/>
  <c r="C45" i="27" s="1"/>
  <c r="L60" i="23"/>
  <c r="I17" i="23"/>
  <c r="K18" i="23"/>
  <c r="L18" i="23" s="1"/>
  <c r="J17" i="23"/>
  <c r="C104" i="27"/>
  <c r="C105" i="27" s="1"/>
  <c r="C12" i="27"/>
  <c r="C17" i="27"/>
  <c r="C9" i="27"/>
  <c r="J28" i="23"/>
  <c r="L41" i="23"/>
  <c r="J40" i="23"/>
  <c r="K40" i="23" s="1"/>
  <c r="K72" i="23"/>
  <c r="C47" i="27" s="1"/>
  <c r="K36" i="23"/>
  <c r="I34" i="23"/>
  <c r="K34" i="23" s="1"/>
  <c r="L34" i="23" s="1"/>
  <c r="I58" i="23"/>
  <c r="K29" i="23"/>
  <c r="L29" i="23" s="1"/>
  <c r="K159" i="23"/>
  <c r="D30" i="24"/>
  <c r="D207" i="24" s="1"/>
  <c r="K7" i="23"/>
  <c r="L7" i="23" s="1"/>
  <c r="K126" i="23"/>
  <c r="L126" i="23" s="1"/>
  <c r="I130" i="23"/>
  <c r="K98" i="23"/>
  <c r="L98" i="23" s="1"/>
  <c r="K47" i="23"/>
  <c r="L47" i="23" s="1"/>
  <c r="K141" i="23"/>
  <c r="I155" i="23"/>
  <c r="K155" i="23" s="1"/>
  <c r="L155" i="23" s="1"/>
  <c r="D16" i="1"/>
  <c r="F16" i="1" s="1"/>
  <c r="D131" i="4"/>
  <c r="D31" i="1"/>
  <c r="F31" i="1" s="1"/>
  <c r="G31" i="1" s="1"/>
  <c r="D24" i="1"/>
  <c r="F24" i="1" s="1"/>
  <c r="D520" i="4"/>
  <c r="D100" i="4"/>
  <c r="D45" i="4"/>
  <c r="D28" i="1"/>
  <c r="F28" i="1" s="1"/>
  <c r="G28" i="1" s="1"/>
  <c r="D28" i="4"/>
  <c r="D126" i="4"/>
  <c r="D21" i="1"/>
  <c r="F21" i="1" s="1"/>
  <c r="G21" i="1" s="1"/>
  <c r="D531" i="4"/>
  <c r="D25" i="1"/>
  <c r="F25" i="1" s="1"/>
  <c r="G25" i="1" s="1"/>
  <c r="D32" i="1"/>
  <c r="F32" i="1" s="1"/>
  <c r="G32" i="1" s="1"/>
  <c r="D97" i="1"/>
  <c r="F97" i="1" s="1"/>
  <c r="D111" i="1"/>
  <c r="F111" i="1" s="1"/>
  <c r="G111" i="1" s="1"/>
  <c r="D551" i="4"/>
  <c r="D547" i="4" s="1"/>
  <c r="D62" i="1"/>
  <c r="F62" i="1" s="1"/>
  <c r="G62" i="1" s="1"/>
  <c r="D277" i="4"/>
  <c r="D73" i="1"/>
  <c r="F73" i="1" s="1"/>
  <c r="D378" i="4"/>
  <c r="D243" i="4"/>
  <c r="D321" i="4"/>
  <c r="D238" i="4"/>
  <c r="D74" i="1"/>
  <c r="D79" i="1"/>
  <c r="F79" i="1" s="1"/>
  <c r="D75" i="1"/>
  <c r="F75" i="1" s="1"/>
  <c r="D264" i="4"/>
  <c r="D562" i="4"/>
  <c r="D51" i="1"/>
  <c r="F51" i="1" s="1"/>
  <c r="D209" i="4"/>
  <c r="D82" i="1"/>
  <c r="F82" i="1" s="1"/>
  <c r="D49" i="1"/>
  <c r="F49" i="1" s="1"/>
  <c r="D84" i="1"/>
  <c r="F84" i="1" s="1"/>
  <c r="G84" i="1" s="1"/>
  <c r="D116" i="1"/>
  <c r="F116" i="1" s="1"/>
  <c r="G116" i="1" s="1"/>
  <c r="D78" i="1"/>
  <c r="D473" i="4"/>
  <c r="D381" i="4"/>
  <c r="E51" i="4"/>
  <c r="D154" i="4"/>
  <c r="E68" i="4"/>
  <c r="E67" i="4" s="1"/>
  <c r="D51" i="4"/>
  <c r="D299" i="4"/>
  <c r="D424" i="4"/>
  <c r="E354" i="4"/>
  <c r="E351" i="4" s="1"/>
  <c r="E61" i="1" s="1"/>
  <c r="D232" i="4"/>
  <c r="D493" i="4"/>
  <c r="D90" i="1" s="1"/>
  <c r="E29" i="1"/>
  <c r="E232" i="4"/>
  <c r="E45" i="1" s="1"/>
  <c r="E381" i="4"/>
  <c r="E376" i="4" s="1"/>
  <c r="E64" i="1" s="1"/>
  <c r="E347" i="4"/>
  <c r="E331" i="4" s="1"/>
  <c r="E60" i="1" s="1"/>
  <c r="E174" i="4"/>
  <c r="E118" i="1"/>
  <c r="D183" i="4"/>
  <c r="D248" i="4"/>
  <c r="E248" i="4"/>
  <c r="E48" i="1" s="1"/>
  <c r="D347" i="4"/>
  <c r="E183" i="4"/>
  <c r="E299" i="4"/>
  <c r="E55" i="1" s="1"/>
  <c r="D389" i="4"/>
  <c r="D174" i="4"/>
  <c r="D393" i="4"/>
  <c r="D368" i="4"/>
  <c r="E135" i="4"/>
  <c r="E121" i="4" s="1"/>
  <c r="E368" i="4"/>
  <c r="E63" i="1" s="1"/>
  <c r="D29" i="1"/>
  <c r="E11" i="1"/>
  <c r="E9" i="1" s="1"/>
  <c r="D68" i="4"/>
  <c r="E493" i="4"/>
  <c r="E90" i="1" s="1"/>
  <c r="E431" i="4"/>
  <c r="E428" i="4" s="1"/>
  <c r="E71" i="1" s="1"/>
  <c r="D397" i="4"/>
  <c r="E393" i="4"/>
  <c r="E67" i="1" s="1"/>
  <c r="E213" i="4"/>
  <c r="E44" i="1" s="1"/>
  <c r="E411" i="4"/>
  <c r="D443" i="4"/>
  <c r="E291" i="4"/>
  <c r="E54" i="1" s="1"/>
  <c r="D411" i="4"/>
  <c r="E91" i="1"/>
  <c r="E443" i="4"/>
  <c r="E76" i="1" s="1"/>
  <c r="E282" i="4"/>
  <c r="E53" i="1" s="1"/>
  <c r="E420" i="4"/>
  <c r="D354" i="4"/>
  <c r="E397" i="4"/>
  <c r="E68" i="1" s="1"/>
  <c r="E415" i="4"/>
  <c r="D420" i="4"/>
  <c r="D202" i="4"/>
  <c r="E402" i="4"/>
  <c r="D91" i="1"/>
  <c r="D406" i="4"/>
  <c r="E80" i="1"/>
  <c r="E77" i="1"/>
  <c r="E438" i="4"/>
  <c r="E436" i="4" s="1"/>
  <c r="E72" i="1"/>
  <c r="D37" i="4"/>
  <c r="D12" i="1"/>
  <c r="F12" i="1" s="1"/>
  <c r="G12" i="1" s="1"/>
  <c r="E37" i="4"/>
  <c r="E36" i="4" s="1"/>
  <c r="E154" i="4"/>
  <c r="E34" i="1" s="1"/>
  <c r="E202" i="4"/>
  <c r="E201" i="4" s="1"/>
  <c r="E42" i="1" s="1"/>
  <c r="D291" i="4"/>
  <c r="D431" i="4"/>
  <c r="D162" i="4"/>
  <c r="D402" i="4"/>
  <c r="E389" i="4"/>
  <c r="E66" i="1" s="1"/>
  <c r="E310" i="4"/>
  <c r="E307" i="4" s="1"/>
  <c r="D191" i="4"/>
  <c r="E406" i="4"/>
  <c r="D310" i="4"/>
  <c r="E191" i="4"/>
  <c r="E40" i="1" s="1"/>
  <c r="D415" i="4"/>
  <c r="D282" i="4"/>
  <c r="D213" i="4"/>
  <c r="E424" i="4"/>
  <c r="E162" i="4"/>
  <c r="D438" i="4"/>
  <c r="E446" i="4"/>
  <c r="E547" i="4"/>
  <c r="E544" i="4" s="1"/>
  <c r="D446" i="4"/>
  <c r="D135" i="4"/>
  <c r="E518" i="4"/>
  <c r="D586" i="4"/>
  <c r="E586" i="4"/>
  <c r="E463" i="4"/>
  <c r="E207" i="24" l="1"/>
  <c r="C51" i="27"/>
  <c r="L72" i="23"/>
  <c r="C29" i="27"/>
  <c r="C35" i="27" s="1"/>
  <c r="L141" i="23"/>
  <c r="C106" i="27"/>
  <c r="C110" i="27" s="1"/>
  <c r="I13" i="23"/>
  <c r="K13" i="23" s="1"/>
  <c r="K17" i="23"/>
  <c r="J58" i="23"/>
  <c r="L59" i="23"/>
  <c r="I28" i="23"/>
  <c r="K28" i="23" s="1"/>
  <c r="L28" i="23" s="1"/>
  <c r="L17" i="23"/>
  <c r="J13" i="23"/>
  <c r="K130" i="23"/>
  <c r="I161" i="23"/>
  <c r="K161" i="23" s="1"/>
  <c r="L161" i="23" s="1"/>
  <c r="L40" i="23"/>
  <c r="I46" i="23"/>
  <c r="D77" i="1"/>
  <c r="F77" i="1" s="1"/>
  <c r="D18" i="1"/>
  <c r="F18" i="1" s="1"/>
  <c r="G18" i="1" s="1"/>
  <c r="F29" i="1"/>
  <c r="G29" i="1" s="1"/>
  <c r="D518" i="4"/>
  <c r="D34" i="1"/>
  <c r="F34" i="1" s="1"/>
  <c r="G34" i="1" s="1"/>
  <c r="D121" i="4"/>
  <c r="D510" i="4"/>
  <c r="D118" i="1"/>
  <c r="F118" i="1" s="1"/>
  <c r="G118" i="1" s="1"/>
  <c r="D27" i="4"/>
  <c r="D85" i="4"/>
  <c r="D36" i="4"/>
  <c r="D17" i="1"/>
  <c r="F17" i="1" s="1"/>
  <c r="G17" i="1" s="1"/>
  <c r="D72" i="1"/>
  <c r="F72" i="1" s="1"/>
  <c r="E401" i="4"/>
  <c r="D52" i="1"/>
  <c r="F52" i="1" s="1"/>
  <c r="G52" i="1" s="1"/>
  <c r="D66" i="1"/>
  <c r="F66" i="1" s="1"/>
  <c r="G66" i="1" s="1"/>
  <c r="D376" i="4"/>
  <c r="D76" i="1"/>
  <c r="F76" i="1" s="1"/>
  <c r="G76" i="1" s="1"/>
  <c r="D55" i="1"/>
  <c r="F55" i="1" s="1"/>
  <c r="G55" i="1" s="1"/>
  <c r="F78" i="1"/>
  <c r="D40" i="1"/>
  <c r="F40" i="1" s="1"/>
  <c r="G40" i="1" s="1"/>
  <c r="D351" i="4"/>
  <c r="D53" i="1"/>
  <c r="F53" i="1" s="1"/>
  <c r="G53" i="1" s="1"/>
  <c r="D201" i="4"/>
  <c r="D81" i="1"/>
  <c r="D331" i="4"/>
  <c r="D83" i="1"/>
  <c r="F83" i="1" s="1"/>
  <c r="G83" i="1" s="1"/>
  <c r="D57" i="1"/>
  <c r="F57" i="1" s="1"/>
  <c r="G57" i="1" s="1"/>
  <c r="D47" i="1"/>
  <c r="F47" i="1" s="1"/>
  <c r="D463" i="4"/>
  <c r="D428" i="4"/>
  <c r="D544" i="4"/>
  <c r="D307" i="4"/>
  <c r="D54" i="1"/>
  <c r="F54" i="1" s="1"/>
  <c r="G54" i="1" s="1"/>
  <c r="D68" i="1"/>
  <c r="F68" i="1" s="1"/>
  <c r="G68" i="1" s="1"/>
  <c r="D63" i="1"/>
  <c r="F63" i="1" s="1"/>
  <c r="G63" i="1" s="1"/>
  <c r="D48" i="1"/>
  <c r="F48" i="1" s="1"/>
  <c r="D436" i="4"/>
  <c r="D67" i="1"/>
  <c r="F67" i="1" s="1"/>
  <c r="G67" i="1" s="1"/>
  <c r="D45" i="1"/>
  <c r="F45" i="1" s="1"/>
  <c r="D43" i="1"/>
  <c r="F43" i="1" s="1"/>
  <c r="D50" i="1"/>
  <c r="F50" i="1" s="1"/>
  <c r="D46" i="1"/>
  <c r="F46" i="1" s="1"/>
  <c r="F74" i="1"/>
  <c r="F91" i="1"/>
  <c r="D419" i="4"/>
  <c r="E26" i="4"/>
  <c r="D161" i="4"/>
  <c r="D388" i="4"/>
  <c r="E161" i="4"/>
  <c r="E160" i="4" s="1"/>
  <c r="E510" i="4"/>
  <c r="E92" i="1"/>
  <c r="D410" i="4"/>
  <c r="E410" i="4"/>
  <c r="E388" i="4"/>
  <c r="E387" i="4" s="1"/>
  <c r="E69" i="1"/>
  <c r="E59" i="1"/>
  <c r="E419" i="4"/>
  <c r="D70" i="1"/>
  <c r="E200" i="4"/>
  <c r="E56" i="1"/>
  <c r="E41" i="1" s="1"/>
  <c r="E70" i="1"/>
  <c r="D44" i="1"/>
  <c r="F44" i="1" s="1"/>
  <c r="G44" i="1" s="1"/>
  <c r="E542" i="4"/>
  <c r="E103" i="1"/>
  <c r="D401" i="4"/>
  <c r="D69" i="1"/>
  <c r="D102" i="1"/>
  <c r="E66" i="4"/>
  <c r="E27" i="1"/>
  <c r="E26" i="1" s="1"/>
  <c r="E35" i="1" s="1"/>
  <c r="E516" i="4"/>
  <c r="E102" i="1"/>
  <c r="E100" i="1" s="1"/>
  <c r="E330" i="4"/>
  <c r="C23" i="27" l="1"/>
  <c r="C24" i="27" s="1"/>
  <c r="C25" i="27" s="1"/>
  <c r="C56" i="27" s="1"/>
  <c r="C112" i="27" s="1"/>
  <c r="C115" i="27" s="1"/>
  <c r="L130" i="23"/>
  <c r="L13" i="23"/>
  <c r="J37" i="23"/>
  <c r="I37" i="23"/>
  <c r="J46" i="23"/>
  <c r="K46" i="23" s="1"/>
  <c r="K58" i="23"/>
  <c r="L58" i="23" s="1"/>
  <c r="I86" i="23"/>
  <c r="D542" i="4"/>
  <c r="D516" i="4"/>
  <c r="D200" i="4"/>
  <c r="D11" i="1"/>
  <c r="F11" i="1" s="1"/>
  <c r="G11" i="1" s="1"/>
  <c r="E158" i="4"/>
  <c r="D67" i="4"/>
  <c r="D105" i="1"/>
  <c r="F105" i="1" s="1"/>
  <c r="G105" i="1" s="1"/>
  <c r="D30" i="1"/>
  <c r="F30" i="1" s="1"/>
  <c r="G30" i="1" s="1"/>
  <c r="D10" i="1"/>
  <c r="F10" i="1" s="1"/>
  <c r="G10" i="1" s="1"/>
  <c r="D26" i="4"/>
  <c r="D387" i="4"/>
  <c r="D39" i="1"/>
  <c r="D38" i="1" s="1"/>
  <c r="D61" i="1"/>
  <c r="F61" i="1" s="1"/>
  <c r="G61" i="1" s="1"/>
  <c r="D60" i="1"/>
  <c r="D330" i="4"/>
  <c r="D56" i="1"/>
  <c r="F56" i="1" s="1"/>
  <c r="G56" i="1" s="1"/>
  <c r="D64" i="1"/>
  <c r="F64" i="1" s="1"/>
  <c r="G64" i="1" s="1"/>
  <c r="F81" i="1"/>
  <c r="D80" i="1"/>
  <c r="F80" i="1" s="1"/>
  <c r="G80" i="1" s="1"/>
  <c r="F70" i="1"/>
  <c r="G70" i="1" s="1"/>
  <c r="D71" i="1"/>
  <c r="F71" i="1" s="1"/>
  <c r="G71" i="1" s="1"/>
  <c r="D42" i="1"/>
  <c r="F42" i="1" s="1"/>
  <c r="F69" i="1"/>
  <c r="G69" i="1" s="1"/>
  <c r="D92" i="1"/>
  <c r="F92" i="1" s="1"/>
  <c r="G92" i="1" s="1"/>
  <c r="F90" i="1"/>
  <c r="G90" i="1" s="1"/>
  <c r="F102" i="1"/>
  <c r="G102" i="1" s="1"/>
  <c r="E39" i="1"/>
  <c r="E38" i="1" s="1"/>
  <c r="D160" i="4"/>
  <c r="D100" i="1"/>
  <c r="F100" i="1" s="1"/>
  <c r="G100" i="1" s="1"/>
  <c r="E574" i="4"/>
  <c r="E386" i="4"/>
  <c r="E65" i="1"/>
  <c r="D65" i="1"/>
  <c r="E106" i="1"/>
  <c r="E199" i="4"/>
  <c r="I92" i="23" l="1"/>
  <c r="K37" i="23"/>
  <c r="L37" i="23"/>
  <c r="L46" i="23"/>
  <c r="J86" i="23"/>
  <c r="D574" i="4"/>
  <c r="D103" i="1"/>
  <c r="F103" i="1" s="1"/>
  <c r="G103" i="1" s="1"/>
  <c r="D9" i="1"/>
  <c r="F9" i="1" s="1"/>
  <c r="G9" i="1" s="1"/>
  <c r="D66" i="4"/>
  <c r="D27" i="1"/>
  <c r="D199" i="4"/>
  <c r="D386" i="4"/>
  <c r="D158" i="4"/>
  <c r="F65" i="1"/>
  <c r="G65" i="1" s="1"/>
  <c r="D59" i="1"/>
  <c r="F59" i="1" s="1"/>
  <c r="G59" i="1" s="1"/>
  <c r="F60" i="1"/>
  <c r="G60" i="1" s="1"/>
  <c r="D41" i="1"/>
  <c r="F41" i="1" s="1"/>
  <c r="G41" i="1" s="1"/>
  <c r="F38" i="1"/>
  <c r="G38" i="1" s="1"/>
  <c r="F39" i="1"/>
  <c r="G39" i="1" s="1"/>
  <c r="E85" i="1"/>
  <c r="E87" i="1" s="1"/>
  <c r="E108" i="1" s="1"/>
  <c r="E120" i="1" s="1"/>
  <c r="E491" i="4"/>
  <c r="E575" i="4" s="1"/>
  <c r="E587" i="4" s="1"/>
  <c r="J92" i="23" l="1"/>
  <c r="K86" i="23"/>
  <c r="L86" i="23" s="1"/>
  <c r="D106" i="1"/>
  <c r="F106" i="1" s="1"/>
  <c r="G106" i="1" s="1"/>
  <c r="F27" i="1"/>
  <c r="G27" i="1" s="1"/>
  <c r="D26" i="1"/>
  <c r="D491" i="4"/>
  <c r="D85" i="1"/>
  <c r="F85" i="1" s="1"/>
  <c r="G85" i="1" s="1"/>
  <c r="K92" i="23" l="1"/>
  <c r="L92" i="23" s="1"/>
  <c r="D575" i="4"/>
  <c r="F26" i="1"/>
  <c r="G26" i="1" s="1"/>
  <c r="D35" i="1"/>
  <c r="F35" i="1" s="1"/>
  <c r="G35" i="1" s="1"/>
  <c r="D587" i="4" l="1"/>
  <c r="D87" i="1"/>
  <c r="D108" i="1" s="1"/>
  <c r="F108" i="1" s="1"/>
  <c r="G108" i="1" s="1"/>
  <c r="N1023" i="3"/>
  <c r="N272" i="2" s="1"/>
  <c r="N273" i="2" s="1"/>
  <c r="M1023" i="3"/>
  <c r="L1023" i="3"/>
  <c r="K1023" i="3"/>
  <c r="K272" i="2" s="1"/>
  <c r="K273" i="2" s="1"/>
  <c r="M272" i="2" l="1"/>
  <c r="M273" i="2" s="1"/>
  <c r="D120" i="1"/>
  <c r="F120" i="1" s="1"/>
  <c r="G120" i="1" s="1"/>
  <c r="L273" i="2" l="1"/>
  <c r="B7" i="17" l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E8" i="17" l="1"/>
  <c r="G8" i="17"/>
  <c r="E9" i="17"/>
  <c r="G9" i="17"/>
  <c r="D7" i="17"/>
  <c r="E7" i="17"/>
  <c r="F7" i="17"/>
  <c r="G7" i="17"/>
  <c r="D15" i="17"/>
  <c r="E15" i="17"/>
  <c r="F15" i="17"/>
  <c r="G15" i="17"/>
  <c r="D40" i="17"/>
  <c r="E40" i="17"/>
  <c r="F40" i="17"/>
  <c r="G40" i="17"/>
  <c r="D41" i="17"/>
  <c r="E41" i="17"/>
  <c r="F41" i="17"/>
  <c r="G41" i="17"/>
  <c r="D43" i="17" l="1"/>
  <c r="G30" i="17"/>
  <c r="G43" i="17"/>
  <c r="G46" i="17"/>
  <c r="G52" i="17"/>
  <c r="G18" i="17"/>
  <c r="D52" i="17"/>
  <c r="F30" i="17"/>
  <c r="F43" i="17"/>
  <c r="F46" i="17"/>
  <c r="F52" i="17"/>
  <c r="F8" i="17"/>
  <c r="E30" i="17"/>
  <c r="E43" i="17"/>
  <c r="E46" i="17"/>
  <c r="E52" i="17"/>
  <c r="D8" i="17"/>
  <c r="G45" i="17"/>
  <c r="G55" i="17"/>
  <c r="D30" i="17"/>
  <c r="F45" i="17"/>
  <c r="F55" i="17"/>
  <c r="F9" i="17"/>
  <c r="D46" i="17"/>
  <c r="E54" i="17"/>
  <c r="E45" i="17"/>
  <c r="E55" i="17"/>
  <c r="D45" i="17"/>
  <c r="D55" i="17"/>
  <c r="D9" i="17"/>
  <c r="E14" i="17"/>
  <c r="E16" i="17"/>
  <c r="E12" i="17"/>
  <c r="E18" i="17"/>
  <c r="E17" i="17"/>
  <c r="E10" i="17"/>
  <c r="E6" i="17"/>
  <c r="G16" i="17"/>
  <c r="G12" i="17"/>
  <c r="G17" i="17"/>
  <c r="G10" i="17"/>
  <c r="G6" i="17"/>
  <c r="F17" i="17"/>
  <c r="F6" i="17"/>
  <c r="D17" i="17"/>
  <c r="D50" i="17"/>
  <c r="G49" i="17"/>
  <c r="G31" i="17"/>
  <c r="G54" i="17"/>
  <c r="E50" i="17"/>
  <c r="F31" i="17"/>
  <c r="E49" i="17"/>
  <c r="E31" i="17"/>
  <c r="E34" i="17"/>
  <c r="G34" i="17"/>
  <c r="J41" i="17"/>
  <c r="I41" i="17"/>
  <c r="H41" i="17"/>
  <c r="J40" i="17"/>
  <c r="I40" i="17"/>
  <c r="H40" i="17"/>
  <c r="J15" i="17"/>
  <c r="I15" i="17"/>
  <c r="H15" i="17"/>
  <c r="J7" i="17"/>
  <c r="I7" i="17"/>
  <c r="H7" i="17"/>
  <c r="I9" i="17"/>
  <c r="H9" i="17"/>
  <c r="D18" i="17" l="1"/>
  <c r="G48" i="17"/>
  <c r="J43" i="17"/>
  <c r="J30" i="17"/>
  <c r="D49" i="17"/>
  <c r="D54" i="17"/>
  <c r="F18" i="17"/>
  <c r="H52" i="17"/>
  <c r="H8" i="17"/>
  <c r="G39" i="17"/>
  <c r="F48" i="17"/>
  <c r="D10" i="17"/>
  <c r="D13" i="17"/>
  <c r="G13" i="17"/>
  <c r="D12" i="17"/>
  <c r="H55" i="17"/>
  <c r="I52" i="17"/>
  <c r="H45" i="17"/>
  <c r="G42" i="17"/>
  <c r="D34" i="17"/>
  <c r="F34" i="17"/>
  <c r="D6" i="17"/>
  <c r="D16" i="17"/>
  <c r="G14" i="17"/>
  <c r="F44" i="17"/>
  <c r="I55" i="17"/>
  <c r="H43" i="17"/>
  <c r="I45" i="17"/>
  <c r="H30" i="17"/>
  <c r="D39" i="17"/>
  <c r="E44" i="17"/>
  <c r="F39" i="17"/>
  <c r="D14" i="17"/>
  <c r="F14" i="17"/>
  <c r="I43" i="17"/>
  <c r="I30" i="17"/>
  <c r="D28" i="17"/>
  <c r="D31" i="17"/>
  <c r="E13" i="17"/>
  <c r="E51" i="17"/>
  <c r="G51" i="17"/>
  <c r="H46" i="17"/>
  <c r="G36" i="17"/>
  <c r="D42" i="17"/>
  <c r="E39" i="17"/>
  <c r="F42" i="17"/>
  <c r="D44" i="17"/>
  <c r="F10" i="17"/>
  <c r="F13" i="17"/>
  <c r="D51" i="17"/>
  <c r="F51" i="17"/>
  <c r="I8" i="17"/>
  <c r="I46" i="17"/>
  <c r="G44" i="17"/>
  <c r="D48" i="17"/>
  <c r="F12" i="17"/>
  <c r="E42" i="17"/>
  <c r="E48" i="17"/>
  <c r="F16" i="17"/>
  <c r="F54" i="17"/>
  <c r="F49" i="17"/>
  <c r="J9" i="17"/>
  <c r="J8" i="17"/>
  <c r="J52" i="17"/>
  <c r="J46" i="17"/>
  <c r="J45" i="17"/>
  <c r="J55" i="17"/>
  <c r="G11" i="17"/>
  <c r="I6" i="17"/>
  <c r="G37" i="17"/>
  <c r="G27" i="17"/>
  <c r="D29" i="17"/>
  <c r="F28" i="17"/>
  <c r="F29" i="17"/>
  <c r="F27" i="17"/>
  <c r="E29" i="17"/>
  <c r="F47" i="17"/>
  <c r="E28" i="17"/>
  <c r="E36" i="17"/>
  <c r="F36" i="17"/>
  <c r="G29" i="17"/>
  <c r="G26" i="17"/>
  <c r="F26" i="17"/>
  <c r="G28" i="17"/>
  <c r="G47" i="17"/>
  <c r="G50" i="17"/>
  <c r="E47" i="17"/>
  <c r="D27" i="17"/>
  <c r="D47" i="17"/>
  <c r="D26" i="17"/>
  <c r="E27" i="17"/>
  <c r="F50" i="17"/>
  <c r="G33" i="17"/>
  <c r="G32" i="17" s="1"/>
  <c r="E26" i="17"/>
  <c r="K9" i="17"/>
  <c r="I17" i="17"/>
  <c r="L9" i="17"/>
  <c r="L7" i="17"/>
  <c r="L15" i="17"/>
  <c r="J17" i="17"/>
  <c r="K40" i="17"/>
  <c r="H44" i="17"/>
  <c r="H51" i="17"/>
  <c r="I31" i="17"/>
  <c r="K41" i="17"/>
  <c r="L41" i="17"/>
  <c r="L8" i="17"/>
  <c r="H10" i="17"/>
  <c r="K7" i="17"/>
  <c r="H16" i="17"/>
  <c r="K8" i="17"/>
  <c r="K15" i="17"/>
  <c r="H12" i="17"/>
  <c r="H34" i="17"/>
  <c r="H17" i="17"/>
  <c r="H18" i="17"/>
  <c r="L40" i="17"/>
  <c r="H54" i="17"/>
  <c r="H49" i="17"/>
  <c r="J31" i="17"/>
  <c r="H31" i="17"/>
  <c r="I48" i="17" l="1"/>
  <c r="K30" i="17"/>
  <c r="D36" i="17"/>
  <c r="F25" i="17"/>
  <c r="K43" i="17"/>
  <c r="G35" i="17"/>
  <c r="G19" i="17"/>
  <c r="E38" i="17"/>
  <c r="F38" i="17"/>
  <c r="I42" i="17"/>
  <c r="I16" i="17"/>
  <c r="H42" i="17"/>
  <c r="K46" i="17"/>
  <c r="G25" i="17"/>
  <c r="D11" i="17"/>
  <c r="D19" i="17" s="1"/>
  <c r="I34" i="17"/>
  <c r="H39" i="17"/>
  <c r="I13" i="17"/>
  <c r="F37" i="17"/>
  <c r="F35" i="17" s="1"/>
  <c r="F11" i="17"/>
  <c r="F19" i="17" s="1"/>
  <c r="I54" i="17"/>
  <c r="H14" i="17"/>
  <c r="D38" i="17"/>
  <c r="I49" i="17"/>
  <c r="K45" i="17"/>
  <c r="I39" i="17"/>
  <c r="H13" i="17"/>
  <c r="D25" i="17"/>
  <c r="D37" i="17"/>
  <c r="E11" i="17"/>
  <c r="E19" i="17" s="1"/>
  <c r="I18" i="17"/>
  <c r="E33" i="17"/>
  <c r="E32" i="17" s="1"/>
  <c r="H48" i="17"/>
  <c r="L43" i="17"/>
  <c r="G53" i="17"/>
  <c r="I14" i="17"/>
  <c r="I51" i="17"/>
  <c r="K52" i="17"/>
  <c r="I10" i="17"/>
  <c r="K55" i="17"/>
  <c r="F33" i="17"/>
  <c r="F32" i="17" s="1"/>
  <c r="G38" i="17"/>
  <c r="I44" i="17"/>
  <c r="I12" i="17"/>
  <c r="E25" i="17"/>
  <c r="D33" i="17"/>
  <c r="D32" i="17" s="1"/>
  <c r="E37" i="17"/>
  <c r="E35" i="17" s="1"/>
  <c r="J14" i="17"/>
  <c r="J12" i="17"/>
  <c r="J13" i="17"/>
  <c r="J10" i="17"/>
  <c r="J16" i="17"/>
  <c r="J6" i="17"/>
  <c r="J18" i="17"/>
  <c r="L46" i="17"/>
  <c r="J42" i="17"/>
  <c r="L52" i="17"/>
  <c r="L55" i="17"/>
  <c r="J48" i="17"/>
  <c r="J54" i="17"/>
  <c r="J39" i="17"/>
  <c r="L30" i="17"/>
  <c r="J34" i="17"/>
  <c r="L45" i="17"/>
  <c r="J44" i="17"/>
  <c r="J51" i="17"/>
  <c r="J49" i="17"/>
  <c r="K44" i="17"/>
  <c r="L13" i="17"/>
  <c r="K13" i="17"/>
  <c r="H27" i="17"/>
  <c r="K39" i="17"/>
  <c r="L39" i="17"/>
  <c r="L44" i="17"/>
  <c r="J29" i="17"/>
  <c r="J33" i="17"/>
  <c r="I27" i="17"/>
  <c r="I50" i="17"/>
  <c r="L51" i="17"/>
  <c r="J50" i="17"/>
  <c r="I29" i="17"/>
  <c r="J28" i="17"/>
  <c r="J26" i="17"/>
  <c r="L31" i="17"/>
  <c r="K31" i="17"/>
  <c r="H47" i="17"/>
  <c r="H28" i="17"/>
  <c r="L16" i="17"/>
  <c r="K16" i="17"/>
  <c r="H36" i="17"/>
  <c r="K49" i="17"/>
  <c r="L49" i="17"/>
  <c r="I47" i="17"/>
  <c r="I28" i="17"/>
  <c r="K51" i="17"/>
  <c r="L42" i="17"/>
  <c r="K42" i="17"/>
  <c r="L17" i="17"/>
  <c r="K17" i="17"/>
  <c r="L34" i="17"/>
  <c r="K34" i="17"/>
  <c r="L12" i="17"/>
  <c r="K12" i="17"/>
  <c r="L10" i="17"/>
  <c r="K10" i="17"/>
  <c r="L54" i="17"/>
  <c r="K54" i="17"/>
  <c r="H6" i="17"/>
  <c r="J47" i="17"/>
  <c r="H29" i="17"/>
  <c r="J27" i="17"/>
  <c r="I26" i="17"/>
  <c r="L18" i="17"/>
  <c r="K18" i="17"/>
  <c r="H33" i="17"/>
  <c r="H32" i="17" s="1"/>
  <c r="D35" i="17" l="1"/>
  <c r="K48" i="17"/>
  <c r="H38" i="17"/>
  <c r="I38" i="17"/>
  <c r="F53" i="17"/>
  <c r="F56" i="17" s="1"/>
  <c r="F58" i="17" s="1"/>
  <c r="K14" i="17"/>
  <c r="D53" i="17"/>
  <c r="I25" i="17"/>
  <c r="J32" i="17"/>
  <c r="L38" i="17"/>
  <c r="K38" i="17"/>
  <c r="K11" i="17"/>
  <c r="H11" i="17"/>
  <c r="H19" i="17" s="1"/>
  <c r="H37" i="17"/>
  <c r="H35" i="17" s="1"/>
  <c r="E53" i="17"/>
  <c r="E56" i="17" s="1"/>
  <c r="E58" i="17" s="1"/>
  <c r="I33" i="17"/>
  <c r="I32" i="17" s="1"/>
  <c r="I37" i="17"/>
  <c r="I36" i="17"/>
  <c r="I11" i="17"/>
  <c r="I19" i="17" s="1"/>
  <c r="G56" i="17"/>
  <c r="G58" i="17" s="1"/>
  <c r="L14" i="17"/>
  <c r="J11" i="17"/>
  <c r="J19" i="17" s="1"/>
  <c r="J38" i="17"/>
  <c r="J36" i="17"/>
  <c r="J25" i="17"/>
  <c r="J37" i="17"/>
  <c r="L48" i="17"/>
  <c r="K27" i="17"/>
  <c r="L11" i="17"/>
  <c r="L47" i="17"/>
  <c r="K47" i="17"/>
  <c r="H50" i="17"/>
  <c r="K28" i="17"/>
  <c r="L28" i="17"/>
  <c r="L36" i="17"/>
  <c r="K36" i="17"/>
  <c r="L6" i="17"/>
  <c r="K6" i="17"/>
  <c r="H26" i="17"/>
  <c r="H25" i="17" s="1"/>
  <c r="L33" i="17"/>
  <c r="L32" i="17" s="1"/>
  <c r="K33" i="17"/>
  <c r="K32" i="17" s="1"/>
  <c r="L27" i="17"/>
  <c r="L29" i="17"/>
  <c r="K29" i="17"/>
  <c r="D56" i="17" l="1"/>
  <c r="D58" i="17" s="1"/>
  <c r="J53" i="17"/>
  <c r="I35" i="17"/>
  <c r="K19" i="17"/>
  <c r="K37" i="17"/>
  <c r="K35" i="17" s="1"/>
  <c r="I53" i="17"/>
  <c r="J35" i="17"/>
  <c r="L37" i="17"/>
  <c r="L35" i="17" s="1"/>
  <c r="L19" i="17"/>
  <c r="K50" i="17"/>
  <c r="L50" i="17"/>
  <c r="L26" i="17"/>
  <c r="L25" i="17" s="1"/>
  <c r="K26" i="17"/>
  <c r="K25" i="17" s="1"/>
  <c r="J56" i="17" l="1"/>
  <c r="J58" i="17" s="1"/>
  <c r="I56" i="17"/>
  <c r="I58" i="17" s="1"/>
  <c r="H53" i="17"/>
  <c r="H56" i="17" s="1"/>
  <c r="H58" i="17" s="1"/>
  <c r="K53" i="17" l="1"/>
  <c r="K56" i="17" s="1"/>
  <c r="K58" i="17" s="1"/>
  <c r="L53" i="17"/>
  <c r="L56" i="17" s="1"/>
  <c r="L58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45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da compilare in linea con tab. 22 Crediti N.I.
</t>
        </r>
      </text>
    </comment>
    <comment ref="G136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da compilare in linea con tab. 44 Debiti N.I.
</t>
        </r>
      </text>
    </comment>
  </commentList>
</comments>
</file>

<file path=xl/sharedStrings.xml><?xml version="1.0" encoding="utf-8"?>
<sst xmlns="http://schemas.openxmlformats.org/spreadsheetml/2006/main" count="7123" uniqueCount="4886">
  <si>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</si>
  <si>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</si>
  <si>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</si>
  <si>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</si>
  <si>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</si>
  <si>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</si>
  <si>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</si>
  <si>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</si>
  <si>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</si>
  <si>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</si>
  <si>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</si>
  <si>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</si>
  <si>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</si>
  <si>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</si>
  <si>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</si>
  <si>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</si>
  <si>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</si>
  <si>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</si>
  <si>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</si>
  <si>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</si>
  <si>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</si>
  <si>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</si>
  <si>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</si>
  <si>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</si>
  <si>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</si>
  <si>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</si>
  <si>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</si>
  <si>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</si>
  <si>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</si>
  <si>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</si>
  <si>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</si>
  <si>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</si>
  <si>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</si>
  <si>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</si>
  <si>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</si>
  <si>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</si>
  <si>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</si>
  <si>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</si>
  <si>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</si>
  <si>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</si>
  <si>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</si>
  <si>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</si>
  <si>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</si>
  <si>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</si>
  <si>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</si>
  <si>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</si>
  <si>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</si>
  <si>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</si>
  <si>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</si>
  <si>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</si>
  <si>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</si>
  <si>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</si>
  <si>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</si>
  <si>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</si>
  <si>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</si>
  <si>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</si>
  <si>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</si>
  <si>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</si>
  <si>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</si>
  <si>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</si>
  <si>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</si>
  <si>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</si>
  <si>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</si>
  <si>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</si>
  <si>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</si>
  <si>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</si>
  <si>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</si>
  <si>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</si>
  <si>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</si>
  <si>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</si>
  <si>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</si>
  <si>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</si>
  <si>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</si>
  <si>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</si>
  <si>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</si>
  <si>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</si>
  <si>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</si>
  <si>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</si>
  <si>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</si>
  <si>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</si>
  <si>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</si>
  <si>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</si>
  <si>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</si>
  <si>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</si>
  <si>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</si>
  <si>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</si>
  <si>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</si>
  <si>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</si>
  <si>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</si>
  <si>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</si>
  <si>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</si>
  <si>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</si>
  <si>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</si>
  <si>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</si>
  <si>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</si>
  <si>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</si>
  <si>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</si>
  <si>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</si>
  <si>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</si>
  <si>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</si>
  <si>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</si>
  <si>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</si>
  <si>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</si>
  <si>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</si>
  <si>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</si>
  <si>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</si>
  <si>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</si>
  <si>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</si>
  <si>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</si>
  <si>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</si>
  <si>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</si>
  <si>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</si>
  <si>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</si>
  <si>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</si>
  <si>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</si>
  <si>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</si>
  <si>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</si>
  <si>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</si>
  <si>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</si>
  <si>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</si>
  <si>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</si>
  <si>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CODICE VOCE CE Ministeriale</t>
  </si>
  <si>
    <t>I</t>
  </si>
  <si>
    <t>II</t>
  </si>
  <si>
    <t>III</t>
  </si>
  <si>
    <t>IV</t>
  </si>
  <si>
    <t>V</t>
  </si>
  <si>
    <t>VI</t>
  </si>
  <si>
    <t>Contributi in c/esercizio</t>
  </si>
  <si>
    <t>Contributi da Regione o Prov. Aut. per quota F.S. regionale</t>
  </si>
  <si>
    <t>da Regione o Prov. Aut. per quota F.S. regionale indistinto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</si>
  <si>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</si>
  <si>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</si>
  <si>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</si>
  <si>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</si>
  <si>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</si>
  <si>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</si>
  <si>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</si>
  <si>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</si>
  <si>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</si>
  <si>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</si>
  <si>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</si>
  <si>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da Regione o Prov. Aut. per quota F.S. regionale vincolato</t>
  </si>
  <si>
    <t>AA0040</t>
  </si>
  <si>
    <t>Altri contributi da FS regionale vincolati</t>
  </si>
  <si>
    <t>Contributi c/esercizio (extra fondo)</t>
  </si>
  <si>
    <t>AA0050</t>
  </si>
  <si>
    <t xml:space="preserve">da Regione o Prov. Aut. (extra fondo) </t>
  </si>
  <si>
    <t>AA0060</t>
  </si>
  <si>
    <t>Contributi da Regione o Prov. Aut. (extra fondo) vincolati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</si>
  <si>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</si>
  <si>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</si>
  <si>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</si>
  <si>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</si>
  <si>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</si>
  <si>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</si>
  <si>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</si>
  <si>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</si>
  <si>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</si>
  <si>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</si>
  <si>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</si>
  <si>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 xml:space="preserve">Contributi da Aziende sanitarie pubbliche della Regione o Prov. Aut. (extra fondo) 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</si>
  <si>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</si>
  <si>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</si>
  <si>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</si>
  <si>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</si>
  <si>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</si>
  <si>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 xml:space="preserve">Contributi da Ministero della Salute e da altri soggetti pubblici (extra fondo) </t>
  </si>
  <si>
    <t>AA0140</t>
  </si>
  <si>
    <t xml:space="preserve">Contributi da Ministero della Salute  (extra fondo) </t>
  </si>
  <si>
    <t>AA0141</t>
  </si>
  <si>
    <t>Contributi da altri soggetti pubblici (extra fondo) vincolati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</si>
  <si>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</si>
  <si>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</si>
  <si>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</si>
  <si>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</si>
  <si>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</si>
  <si>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</si>
  <si>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</si>
  <si>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</si>
  <si>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</si>
  <si>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</si>
  <si>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</si>
  <si>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</si>
  <si>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</si>
  <si>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Contributi c/esercizio per ricerca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</si>
  <si>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</si>
  <si>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</si>
  <si>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</si>
  <si>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</si>
  <si>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</si>
  <si>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Contributi da Regione ed altri soggetti pubblici per ricerca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</si>
  <si>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</si>
  <si>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</si>
  <si>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</si>
  <si>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</si>
  <si>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</si>
  <si>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</si>
  <si>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</si>
  <si>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Rettifica contributi c/esercizio per destinazione ad investimenti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</si>
  <si>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</si>
  <si>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</si>
  <si>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</si>
  <si>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</si>
  <si>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</si>
  <si>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Utilizzo fondi per quote inutilizzate contributi finalizzati e vincolati di esercizi precedenti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</si>
  <si>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</si>
  <si>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</si>
  <si>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</si>
  <si>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</si>
  <si>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</si>
  <si>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</si>
  <si>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</si>
  <si>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</si>
  <si>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</si>
  <si>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</si>
  <si>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</si>
  <si>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AA320</t>
  </si>
  <si>
    <t xml:space="preserve">Ricavi per prestazioni sanitarie e sociosanitarie a rilevanza sanitaria erogate a soggetti pubblici </t>
  </si>
  <si>
    <t>AA0330</t>
  </si>
  <si>
    <t>Ricavi per prestaz. sanitarie  e sociosanitarie a rilevanza sanitaria erogate ad Aziende sanitarie pubbliche della Regione</t>
  </si>
  <si>
    <t>AA0340</t>
  </si>
  <si>
    <t>Prestazioni di ricovero</t>
  </si>
  <si>
    <t>AA0350</t>
  </si>
  <si>
    <t>Rimborso per prestazioni in regime di ricovero (DRG)</t>
  </si>
  <si>
    <t>Rimborso per prestazioni fatturate in regime di ricovero</t>
  </si>
  <si>
    <t>Prestazioni di specialistica ambulatoriale</t>
  </si>
  <si>
    <t>AA0360</t>
  </si>
  <si>
    <t>Rimborso per prestazioni ambulatoriali e diagnostiche</t>
  </si>
  <si>
    <t>Rimborso per prestazioni ambulatoriali e diagnostiche fatturate</t>
  </si>
  <si>
    <t>AA0361</t>
  </si>
  <si>
    <t>Prestazioni di psichiatria residenziale e semiresidenziale</t>
  </si>
  <si>
    <t>AA0370</t>
  </si>
  <si>
    <t>Prestazioni di File F</t>
  </si>
  <si>
    <t>AA0380</t>
  </si>
  <si>
    <t>Prestazioni servizi MMG, PLS, Contin. assistenziale</t>
  </si>
  <si>
    <t>AA0390</t>
  </si>
  <si>
    <t>Prestazioni servizi farmaceutica convenzionata</t>
  </si>
  <si>
    <t>AA0400</t>
  </si>
  <si>
    <t>Prestazioni termali</t>
  </si>
  <si>
    <t>AA0410</t>
  </si>
  <si>
    <t>Prestazioni trasporto ambulanze ed elisoccorso</t>
  </si>
  <si>
    <t>AA0420</t>
  </si>
  <si>
    <t>Prestazioni assistenza integrativa</t>
  </si>
  <si>
    <t>AA0421</t>
  </si>
  <si>
    <t>Prestazioni assistenza protesica</t>
  </si>
  <si>
    <t>AA0422</t>
  </si>
  <si>
    <t>Prestazioni assistenza riabilitativa extraospedaliera</t>
  </si>
  <si>
    <t>AA0423</t>
  </si>
  <si>
    <t>Ricavi per cessione di emocomponenti e cellule staminali</t>
  </si>
  <si>
    <t>AA0424</t>
  </si>
  <si>
    <t>Prestazioni assistenza domiciliare integrata (ADI)</t>
  </si>
  <si>
    <t>AA0425</t>
  </si>
  <si>
    <t xml:space="preserve">Altre prestazioni sanitarie e socio-sanitarie a rilevanza sanitaria </t>
  </si>
  <si>
    <t>AA0430</t>
  </si>
  <si>
    <t>Consulenze sanitarie</t>
  </si>
  <si>
    <t xml:space="preserve">Ricavi per prestaz. sanitarie e sociosanitarie a rilevanza sanitaria erogate ad altri soggetti pubblici </t>
  </si>
  <si>
    <t>AA0440</t>
  </si>
  <si>
    <t>Ricavi per prestaz. sanitarie e sociosanitarie a rilevanza sanitaria erogate a soggetti pubblici Extraregione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</si>
  <si>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</si>
  <si>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</si>
  <si>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</si>
  <si>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</si>
  <si>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</si>
  <si>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</si>
  <si>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Prestazioni pronto soccorso non seguite da ricovero</t>
  </si>
  <si>
    <t>AA0471</t>
  </si>
  <si>
    <t>Prestazioni di psichiatria non soggetta a compensazione (resid. e semiresid.)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</si>
  <si>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</si>
  <si>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</si>
  <si>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</si>
  <si>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</si>
  <si>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</si>
  <si>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</si>
  <si>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</si>
  <si>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</si>
  <si>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</si>
  <si>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</si>
  <si>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</si>
  <si>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</si>
  <si>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</si>
  <si>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</si>
  <si>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</si>
  <si>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</si>
  <si>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</si>
  <si>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</si>
  <si>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</si>
  <si>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</si>
  <si>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Altre prestazioni sanitarie e sociosanitarie a rilevanza sanitaria non soggette a compensazione Extraregione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</si>
  <si>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</si>
  <si>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</si>
  <si>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</si>
  <si>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</si>
  <si>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</si>
  <si>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</si>
  <si>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</si>
  <si>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</si>
  <si>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</si>
  <si>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</si>
  <si>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</si>
  <si>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Ricavi per prestazioni sanitarie e sociosanitarie a rilevanza sanitaria erogate da privati v/residenti Extraregione in compensazione (mobilità attiva)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</si>
  <si>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</si>
  <si>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</si>
  <si>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</si>
  <si>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</si>
  <si>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</si>
  <si>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Prestazioni  di pronto soccorso non segute da ricovero da priv. Extraregione in compensazione  (mobilità attiva)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</si>
  <si>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</si>
  <si>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</si>
  <si>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</si>
  <si>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</si>
  <si>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</si>
  <si>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 xml:space="preserve">Ricavi per prestazioni sanitarie e sociosanitarie a rilevanza sanitaria erogate a privati 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</si>
  <si>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</si>
  <si>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</si>
  <si>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</si>
  <si>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</si>
  <si>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</si>
  <si>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</si>
  <si>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</si>
  <si>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</si>
  <si>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</si>
  <si>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</si>
  <si>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</si>
  <si>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</si>
  <si>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</si>
  <si>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</si>
  <si>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</si>
  <si>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</si>
  <si>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</si>
  <si>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</si>
  <si>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</si>
  <si>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</si>
  <si>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</si>
  <si>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</si>
  <si>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</si>
  <si>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</si>
  <si>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</si>
  <si>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</si>
  <si>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Prestazioni amministrative e gestionali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</si>
  <si>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</si>
  <si>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</si>
  <si>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</si>
  <si>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</si>
  <si>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</si>
  <si>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</si>
  <si>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</si>
  <si>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</si>
  <si>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erogate in regime di intramoenia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</si>
  <si>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</si>
  <si>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</si>
  <si>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</si>
  <si>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</si>
  <si>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</si>
  <si>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</si>
  <si>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</si>
  <si>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</si>
  <si>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</si>
  <si>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</si>
  <si>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</si>
  <si>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</si>
  <si>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</si>
  <si>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</si>
  <si>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Concorsi, recuperi e rimborsi</t>
  </si>
  <si>
    <t>Rimborsi assicurativi</t>
  </si>
  <si>
    <t>AA0760</t>
  </si>
  <si>
    <t>Concorsi, recuperi e rimborsi da Regione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</si>
  <si>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</si>
  <si>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</si>
  <si>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</si>
  <si>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</si>
  <si>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Concorsi, recuperi e rimborsi da Aziende sanitarie pubbliche della Regione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</si>
  <si>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</si>
  <si>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</si>
  <si>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</si>
  <si>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</si>
  <si>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Altri concorsi, recuperi e rimborsi da parte di Aziende sanitarie pubbliche della Regione</t>
  </si>
  <si>
    <t>AA0830</t>
  </si>
  <si>
    <t>Consulenze non sanitarie</t>
  </si>
  <si>
    <t>Altri concorsi, recuperi e rimborsi</t>
  </si>
  <si>
    <t>Altri concorsi, recuperi e rimborsi da parte della Regione - GSA</t>
  </si>
  <si>
    <t>AA0831</t>
  </si>
  <si>
    <t>Concorsi, recuperi e rimborsi da altri soggetti pubblici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</si>
  <si>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</si>
  <si>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</si>
  <si>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</si>
  <si>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</si>
  <si>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</si>
  <si>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</si>
  <si>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</si>
  <si>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</si>
  <si>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</si>
  <si>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</si>
  <si>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</si>
  <si>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</si>
  <si>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Concorsi, recuperi e rimborsi da privati</t>
  </si>
  <si>
    <t>AA0880</t>
  </si>
  <si>
    <t>Rimborso da aziende farmaceutiche per Pay back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</si>
  <si>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</si>
  <si>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</si>
  <si>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</si>
  <si>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</si>
  <si>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</si>
  <si>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</si>
  <si>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</si>
  <si>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</si>
  <si>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</si>
  <si>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</si>
  <si>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</si>
  <si>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</si>
  <si>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</si>
  <si>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</si>
  <si>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</si>
  <si>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</si>
  <si>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</si>
  <si>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</si>
  <si>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</si>
  <si>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</si>
  <si>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</si>
  <si>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</si>
  <si>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</si>
  <si>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Compartecipazione alla spesa per prestazioni sanitarie (Ticket)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</si>
  <si>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</si>
  <si>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</si>
  <si>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</si>
  <si>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</si>
  <si>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</si>
  <si>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</si>
  <si>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Quota contributi c/capitale imputata all'esercizio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</si>
  <si>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</si>
  <si>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</si>
  <si>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</si>
  <si>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</si>
  <si>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</si>
  <si>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</si>
  <si>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</si>
  <si>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</si>
  <si>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</si>
  <si>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</si>
  <si>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</si>
  <si>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</si>
  <si>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</si>
  <si>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</si>
  <si>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</si>
  <si>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Ricavi per prestazioni non sanitarie</t>
  </si>
  <si>
    <t>AA1070</t>
  </si>
  <si>
    <t>Differenze alberghiere camere speciali</t>
  </si>
  <si>
    <t>Cessione liquidi di fissaggio, rottami e materiali diversi</t>
  </si>
  <si>
    <t>Altri ricavi per prestazioni non sanitarie</t>
  </si>
  <si>
    <t>Fitti attivi ed altri proventi da attività immobiliari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</si>
  <si>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</si>
  <si>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</si>
  <si>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</si>
  <si>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</si>
  <si>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</si>
  <si>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</si>
  <si>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</si>
  <si>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</si>
  <si>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Interessi attivi</t>
  </si>
  <si>
    <t>CA0010</t>
  </si>
  <si>
    <t>Interessi attivi su c/tesoreria unica</t>
  </si>
  <si>
    <t>CA0020</t>
  </si>
  <si>
    <t>Interessi attivi su c/c postali e bancari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</si>
  <si>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</si>
  <si>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</si>
  <si>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</si>
  <si>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</si>
  <si>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</si>
  <si>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</si>
  <si>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Interessi moratori e legali</t>
  </si>
  <si>
    <t>Altri proventi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</si>
  <si>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</si>
  <si>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</si>
  <si>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</si>
  <si>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</si>
  <si>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</si>
  <si>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</si>
  <si>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</si>
  <si>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</si>
  <si>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</si>
  <si>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</si>
  <si>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</si>
  <si>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</si>
  <si>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</si>
  <si>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</si>
  <si>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</si>
  <si>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</si>
  <si>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</si>
  <si>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</si>
  <si>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</si>
  <si>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</si>
  <si>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Sopravvenienze attive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</si>
  <si>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</si>
  <si>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</si>
  <si>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</si>
  <si>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</si>
  <si>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</si>
  <si>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Sopravvenienze attive v/terzi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</si>
  <si>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</si>
  <si>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</si>
  <si>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</si>
  <si>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</si>
  <si>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</si>
  <si>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</si>
  <si>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</si>
  <si>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</si>
  <si>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</si>
  <si>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</si>
  <si>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</si>
  <si>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</si>
  <si>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</si>
  <si>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</si>
  <si>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</si>
  <si>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 xml:space="preserve">Insussistenze attive </t>
  </si>
  <si>
    <t>Insussistenze attive v/Aziende sanitarie pubbliche della Regione</t>
  </si>
  <si>
    <t>EA0160</t>
  </si>
  <si>
    <t>Insussistenze attive v/terzi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</si>
  <si>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</si>
  <si>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</si>
  <si>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</si>
  <si>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</si>
  <si>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</si>
  <si>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</si>
  <si>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</si>
  <si>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</si>
  <si>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</si>
  <si>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</si>
  <si>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</si>
  <si>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</si>
  <si>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</si>
  <si>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</si>
  <si>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</si>
  <si>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Totale ricavi</t>
  </si>
  <si>
    <t>Totale costi</t>
  </si>
  <si>
    <t>Risultato</t>
  </si>
  <si>
    <t>ACQUISTI DI BENI</t>
  </si>
  <si>
    <t>BA0010</t>
  </si>
  <si>
    <t>Acquisti di beni sanitari</t>
  </si>
  <si>
    <t>BA0020</t>
  </si>
  <si>
    <t>Prodotti farmaceutici ed emoderivati</t>
  </si>
  <si>
    <t>BA0030</t>
  </si>
  <si>
    <t>Medicinali con AIC, ad eccezione di vaccini ed emoderivati di produzione regionale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</si>
  <si>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</si>
  <si>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</si>
  <si>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</si>
  <si>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</si>
  <si>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</si>
  <si>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</si>
  <si>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Emoderivati di produzione regionale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</si>
  <si>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</si>
  <si>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</si>
  <si>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</si>
  <si>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</si>
  <si>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</si>
  <si>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</si>
  <si>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</si>
  <si>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Sangue ed emocomponenti</t>
  </si>
  <si>
    <t>BA0070</t>
  </si>
  <si>
    <t>da pubblico (Aziende sanitarie pubbliche della Regione) – Mobilità intraregionale</t>
  </si>
  <si>
    <t>BA0080</t>
  </si>
  <si>
    <t>da pubblico (Aziende sanitarie pubbliche extra Regione) – Mobilità extraregionale</t>
  </si>
  <si>
    <t>BA0090</t>
  </si>
  <si>
    <t>da altri soggetti</t>
  </si>
  <si>
    <t>BA0100</t>
  </si>
  <si>
    <t>Dispositivi medici</t>
  </si>
  <si>
    <t>BA0210</t>
  </si>
  <si>
    <t xml:space="preserve">Dispositivi medici 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</si>
  <si>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</si>
  <si>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</si>
  <si>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</si>
  <si>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</si>
  <si>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</si>
  <si>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</si>
  <si>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</si>
  <si>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</si>
  <si>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</si>
  <si>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</si>
  <si>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</si>
  <si>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</si>
  <si>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</si>
  <si>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</si>
  <si>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</si>
  <si>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Beni e prodotti sanitari da Aziende sanitarie pubbliche della Regione</t>
  </si>
  <si>
    <t>BA0300</t>
  </si>
  <si>
    <t>BA0301</t>
  </si>
  <si>
    <t>BA0303</t>
  </si>
  <si>
    <t>BA0304</t>
  </si>
  <si>
    <t>BA0305</t>
  </si>
  <si>
    <t>BA0306</t>
  </si>
  <si>
    <t>BA0307</t>
  </si>
  <si>
    <t xml:space="preserve">Altri beni e prodotti sanitari </t>
  </si>
  <si>
    <t>BA0308</t>
  </si>
  <si>
    <t>Acquisti di beni non sanitari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</si>
  <si>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</si>
  <si>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</si>
  <si>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</si>
  <si>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</si>
  <si>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</si>
  <si>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</si>
  <si>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</si>
  <si>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Supporti informatici e cancelleria</t>
  </si>
  <si>
    <t>BA0350</t>
  </si>
  <si>
    <t>Cancelleria e stampati</t>
  </si>
  <si>
    <t>Materiali di consumo per l'informatica</t>
  </si>
  <si>
    <t>Materiale didattico, audiovisivo e fotografico</t>
  </si>
  <si>
    <t>Materiale per la manutenzione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</si>
  <si>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</si>
  <si>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</si>
  <si>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</si>
  <si>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</si>
  <si>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</si>
  <si>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Beni e prodotti non sanitari da Aziende sanitarie pubbliche della Regione</t>
  </si>
  <si>
    <t>BA0380</t>
  </si>
  <si>
    <t>Altri beni e prodotti non sanitari da Aziende sanitarie pubbliche della Regione</t>
  </si>
  <si>
    <t>ACQUISTI DI SERVIZI</t>
  </si>
  <si>
    <t>BA0390</t>
  </si>
  <si>
    <t>Acquisti servizi sanitari</t>
  </si>
  <si>
    <t>BA0400</t>
  </si>
  <si>
    <t>Acquisti servizi sanitari per medicina di base</t>
  </si>
  <si>
    <t>BA0410</t>
  </si>
  <si>
    <t>- da convenzione</t>
  </si>
  <si>
    <t>BA0420</t>
  </si>
  <si>
    <t>Costi per assistenza MMG</t>
  </si>
  <si>
    <t>BA0430</t>
  </si>
  <si>
    <t>Quota capitaria nazionale</t>
  </si>
  <si>
    <t>Compensi da fondo ponderazione</t>
  </si>
  <si>
    <t>Compensi da fondo qualità dell'assistenza</t>
  </si>
  <si>
    <t>Compensi da fondo quota capitaria regionale</t>
  </si>
  <si>
    <t>Compensi extra derivanti da accordi nazionali</t>
  </si>
  <si>
    <t>Compensi da accordi regionali</t>
  </si>
  <si>
    <t>Compensi da accordi aziendali</t>
  </si>
  <si>
    <t>Premi assicurativi malattia</t>
  </si>
  <si>
    <t>Formazione</t>
  </si>
  <si>
    <t>Altre competenze</t>
  </si>
  <si>
    <t>Oneri sociali</t>
  </si>
  <si>
    <t>Costi per assistenza PLS</t>
  </si>
  <si>
    <t>BA0440</t>
  </si>
  <si>
    <t>Costi per assistenza Continuità assistenziale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</si>
  <si>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</si>
  <si>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</si>
  <si>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</si>
  <si>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</si>
  <si>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</si>
  <si>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</si>
  <si>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</si>
  <si>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</si>
  <si>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Altri compensi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</si>
  <si>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</si>
  <si>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</si>
  <si>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</si>
  <si>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</si>
  <si>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</si>
  <si>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</si>
  <si>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Altro (medicina dei servizi, psicologi, medici 118, ecc)</t>
  </si>
  <si>
    <t>BA0460</t>
  </si>
  <si>
    <t xml:space="preserve">Compensi fissi </t>
  </si>
  <si>
    <t>Medicina fiscale</t>
  </si>
  <si>
    <t>- da pubblico (Aziende sanitarie pubbliche della Regione) - Mobilità intraregionale</t>
  </si>
  <si>
    <t>BA0470</t>
  </si>
  <si>
    <t>- da pubblico (Aziende sanitarie pubbliche Extraregione) - Mobilità extraregionale</t>
  </si>
  <si>
    <t>BA0480</t>
  </si>
  <si>
    <t>Acquisti servizi sanitari per farmaceutica</t>
  </si>
  <si>
    <t>BA0490</t>
  </si>
  <si>
    <t>BA0500</t>
  </si>
  <si>
    <t>Prodotti farmaceutici e galenici</t>
  </si>
  <si>
    <t>Contributi farmacie rurali ed Enpaf</t>
  </si>
  <si>
    <t>- da pubblico (Aziende sanitarie pubbliche della Regione)- Mobilità intraregionale</t>
  </si>
  <si>
    <t>BA0510</t>
  </si>
  <si>
    <t>- da pubblico (Extraregione)</t>
  </si>
  <si>
    <t>BA0520</t>
  </si>
  <si>
    <t>Acquisti servizi sanitari per assistenza specialistica ambulatoriale</t>
  </si>
  <si>
    <t>BA0530</t>
  </si>
  <si>
    <t>- da pubblico (Aziende sanitarie pubbliche della Regione)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</si>
  <si>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</si>
  <si>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</si>
  <si>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</si>
  <si>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</si>
  <si>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</si>
  <si>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- da pubblico (altri soggetti pubbl. della Regione)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</si>
  <si>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</si>
  <si>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</si>
  <si>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</si>
  <si>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</si>
  <si>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</si>
  <si>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</si>
  <si>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</si>
  <si>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</si>
  <si>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- da privato - Medici SUMAI</t>
  </si>
  <si>
    <t>BA0570</t>
  </si>
  <si>
    <t>Compensi fissi</t>
  </si>
  <si>
    <t>Compendi da fondo ponderazione</t>
  </si>
  <si>
    <t>- da privato</t>
  </si>
  <si>
    <t>BA0580</t>
  </si>
  <si>
    <t>Servizi sanitari per assistenza specialistica da IRCCS privati e Policlinici privati</t>
  </si>
  <si>
    <t>BA0590</t>
  </si>
  <si>
    <t xml:space="preserve"> Servizi sanitari per prestazioni di pronto soccorso non seguite da ricovero - da IRCCS privati e Policlinici privati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</si>
  <si>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</si>
  <si>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</si>
  <si>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</si>
  <si>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</si>
  <si>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</si>
  <si>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</si>
  <si>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</si>
  <si>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</si>
  <si>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</si>
  <si>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</si>
  <si>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</si>
  <si>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</si>
  <si>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</si>
  <si>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- da privato per cittadini non residenti - Extraregione (mobilità attiva in compensazione)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</si>
  <si>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</si>
  <si>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</si>
  <si>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</si>
  <si>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Acquisti servizi sanitari per assistenza riabilitativa</t>
  </si>
  <si>
    <t>BA0640</t>
  </si>
  <si>
    <t>BA0650</t>
  </si>
  <si>
    <t>BA0660</t>
  </si>
  <si>
    <t>- da pubblico (Extraregione) non soggetti a compensazione</t>
  </si>
  <si>
    <t>BA0670</t>
  </si>
  <si>
    <t>- da privato (intraregionale)</t>
  </si>
  <si>
    <t>BA0680</t>
  </si>
  <si>
    <t>Assistenza riabilitativa ex art.26 L.833/78 - in regime di ricovero</t>
  </si>
  <si>
    <t>Assistenza riabilitativa ex art.26 L.833/78 - in regime ambulatoriale</t>
  </si>
  <si>
    <t>- da privato (extraregionale)</t>
  </si>
  <si>
    <t>BA0690</t>
  </si>
  <si>
    <t>Acquisti servizi sanitari per assistenza integrativa</t>
  </si>
  <si>
    <t>BA0700</t>
  </si>
  <si>
    <t xml:space="preserve">  da pubblico (Aziende sanitarie pubbliche della Regione)</t>
  </si>
  <si>
    <t>BA0710</t>
  </si>
  <si>
    <t>BA0720</t>
  </si>
  <si>
    <t>BA0730</t>
  </si>
  <si>
    <t>- da privato - AFIR</t>
  </si>
  <si>
    <t>BA0740</t>
  </si>
  <si>
    <t>AFIR farmacie convenzionate</t>
  </si>
  <si>
    <t>Fornitura ausilii per incontinenti</t>
  </si>
  <si>
    <t>Ossigeno terapia domiciliare</t>
  </si>
  <si>
    <t>AFIR altro</t>
  </si>
  <si>
    <t>Acquisti servizi sanitari per assistenza protesica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</si>
  <si>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</si>
  <si>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</si>
  <si>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</si>
  <si>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</si>
  <si>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</si>
  <si>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</si>
  <si>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Acquisti servizi sanitari per assistenza ospedaliera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</si>
  <si>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</si>
  <si>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</si>
  <si>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</si>
  <si>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</si>
  <si>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</si>
  <si>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</si>
  <si>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</si>
  <si>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</si>
  <si>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</si>
  <si>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</si>
  <si>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</si>
  <si>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</si>
  <si>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</si>
  <si>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</si>
  <si>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</si>
  <si>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</si>
  <si>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</si>
  <si>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</si>
  <si>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Acquisto prestazioni di psichiatria residenziale e semiresidenziale</t>
  </si>
  <si>
    <t>BA0900</t>
  </si>
  <si>
    <t>BA0910</t>
  </si>
  <si>
    <t>BA0920</t>
  </si>
  <si>
    <t>- da pubblico (Extraregione) - non soggette a compensazione</t>
  </si>
  <si>
    <t>BA0930</t>
  </si>
  <si>
    <t>BA0940</t>
  </si>
  <si>
    <t>BA0950</t>
  </si>
  <si>
    <t>Acquisto prestazioni di distribuzione farmaci File F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</si>
  <si>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</si>
  <si>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</si>
  <si>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</si>
  <si>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</si>
  <si>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</si>
  <si>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</si>
  <si>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</si>
  <si>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BA1010</t>
  </si>
  <si>
    <t>BA1020</t>
  </si>
  <si>
    <t>Acquisto prestazioni termali in convenzione</t>
  </si>
  <si>
    <t>BA1030</t>
  </si>
  <si>
    <t>BA1040</t>
  </si>
  <si>
    <t>BA1050</t>
  </si>
  <si>
    <t>BA1060</t>
  </si>
  <si>
    <t>BA1070</t>
  </si>
  <si>
    <t>BA1080</t>
  </si>
  <si>
    <t>Acquisto prestazioni di trasporto sanitario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</si>
  <si>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</si>
  <si>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</si>
  <si>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</si>
  <si>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</si>
  <si>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</si>
  <si>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</si>
  <si>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</si>
  <si>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</si>
  <si>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</si>
  <si>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Acquisto prestazioni Socio-Sanitarie a rilevanza sanitaria</t>
  </si>
  <si>
    <t>BA1140</t>
  </si>
  <si>
    <t>BA1150</t>
  </si>
  <si>
    <t>Assistenza domiciliare integrata (ADI)</t>
  </si>
  <si>
    <t>BA1151</t>
  </si>
  <si>
    <t xml:space="preserve"> Altre prestazioni socio-sanitarie a rilevanza sanitaria</t>
  </si>
  <si>
    <t>BA1152</t>
  </si>
  <si>
    <t>- da pubblico (altri soggetti pubblici della Regione)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</si>
  <si>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</si>
  <si>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</si>
  <si>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</si>
  <si>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</si>
  <si>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</si>
  <si>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 xml:space="preserve"> - da pubblico  (Extraregione) - Acquisto di Altre prestazioni sociosanitarie a rilevanza sanitaria erogate a soggetti pubblici Extraregione</t>
  </si>
  <si>
    <t>BA1161</t>
  </si>
  <si>
    <t>- da pubblico (Extraregione) non soggette a compensazione</t>
  </si>
  <si>
    <t>BA1170</t>
  </si>
  <si>
    <t>BA1180</t>
  </si>
  <si>
    <t>Conv. per ass. ostetrica ed infermieristica</t>
  </si>
  <si>
    <t>Conv. per ass. domiciliare -ADI</t>
  </si>
  <si>
    <t>Assist. riabilitativa residenziale e integrativa territoriale per tossicodipendenti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</si>
  <si>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</si>
  <si>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</si>
  <si>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</si>
  <si>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</si>
  <si>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Compartecipazione al personale per att. libero-prof. (intramoenia)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</si>
  <si>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</si>
  <si>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</si>
  <si>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</si>
  <si>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</si>
  <si>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</si>
  <si>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</si>
  <si>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</si>
  <si>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Compartecipazione al personale per att. libero professionale intramoenia - Consulenze (ex art. 55 c.1 lett. c), d) ed ex Art. 57-58)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</si>
  <si>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</si>
  <si>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</si>
  <si>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</si>
  <si>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</si>
  <si>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Oneri su compartecipazione al  personale per att. libero  professionale intramoenia - Altro</t>
  </si>
  <si>
    <t>Compartecipazione al personale per att. libero professionale intramoenia - Consulenze (ex art. 55 c.1 lett. c), d) ed ex Art. 57-58) (Aziende sanitarie pubbliche della Regione)</t>
  </si>
  <si>
    <t>BA1250</t>
  </si>
  <si>
    <t>Compartecipazione al personale per att. libero professionale intramoenia - Altro</t>
  </si>
  <si>
    <t>BA1260</t>
  </si>
  <si>
    <t>Consulenze a favore di terzi, rimborsate Dirigenza ruolo professionale</t>
  </si>
  <si>
    <t xml:space="preserve">Consulenze a favore di terzi, rimborsate Dirigenza ruolo tecnico </t>
  </si>
  <si>
    <t xml:space="preserve">Consulenze a favore di terzi, rimborsate Dirigenza ruolo amministrativo 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</si>
  <si>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</si>
  <si>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</si>
  <si>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</si>
  <si>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 xml:space="preserve">Consulenze a favore di terzi, rimborsate Comparto ruolo amministrativo </t>
  </si>
  <si>
    <t>Personale di supporto diretto e indiretto</t>
  </si>
  <si>
    <t>Quota di perequazione</t>
  </si>
  <si>
    <t>Compartecipazione al personale per att. libero  professionale intramoenia - Altro (Aziende sanitarie pubbliche della Regione)</t>
  </si>
  <si>
    <t>BA1270</t>
  </si>
  <si>
    <t>Rimborsi, assegni e contributi sanitari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</si>
  <si>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</si>
  <si>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</si>
  <si>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</si>
  <si>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</si>
  <si>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</si>
  <si>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</si>
  <si>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</si>
  <si>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</si>
  <si>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</si>
  <si>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</si>
  <si>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</si>
  <si>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</si>
  <si>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</si>
  <si>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</si>
  <si>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</si>
  <si>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</si>
  <si>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</si>
  <si>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</si>
  <si>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</si>
  <si>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</si>
  <si>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Rimborsi, assegni e contributi v/Aziende sanitarie pubbliche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</si>
  <si>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</si>
  <si>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</si>
  <si>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</si>
  <si>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</si>
  <si>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</si>
  <si>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Consulenze, Collaborazioni,  Interinale e altre prestazioni di lavoro sanitarie e sociosanitarie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</si>
  <si>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</si>
  <si>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</si>
  <si>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</si>
  <si>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</si>
  <si>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</si>
  <si>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Consulenze, Collaborazioni,  Interinale e altre prestazioni di lavoro sanitarie e socios. da privato</t>
  </si>
  <si>
    <t>BA1380</t>
  </si>
  <si>
    <t>Consulenze sanitarie da privato - articolo 55, comma 2, CCNL 8 giugno 2000</t>
  </si>
  <si>
    <t>BA1390</t>
  </si>
  <si>
    <t>Altre consulenze sanitarie e sociosanitarie da privato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</si>
  <si>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</si>
  <si>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</si>
  <si>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</si>
  <si>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</si>
  <si>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Collaborazioni coordinate e continuative sanitarie e socios.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</si>
  <si>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</si>
  <si>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</si>
  <si>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</si>
  <si>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</si>
  <si>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</si>
  <si>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 xml:space="preserve">Indennità a personale universitario - area sanitaria </t>
  </si>
  <si>
    <t>BA1420</t>
  </si>
  <si>
    <t>Indennità personale universitario (De Maria)</t>
  </si>
  <si>
    <t xml:space="preserve">Lavoro interinale - area sanitaria </t>
  </si>
  <si>
    <t>BA1430</t>
  </si>
  <si>
    <t xml:space="preserve">Altre collaborazioni e prestazioni di lavoro - area sanitaria 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</si>
  <si>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</si>
  <si>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</si>
  <si>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</si>
  <si>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</si>
  <si>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</si>
  <si>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</si>
  <si>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</si>
  <si>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</si>
  <si>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</si>
  <si>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 xml:space="preserve">Oneri sociali su altre collaborazioni e prestazioni di lavoro - area sanitaria </t>
  </si>
  <si>
    <t>Rimborso oneri stipendiali del personale sanitario in comando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</si>
  <si>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</si>
  <si>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</si>
  <si>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</si>
  <si>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</si>
  <si>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</si>
  <si>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</si>
  <si>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</si>
  <si>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Altri servizi sanitari e sociosanitari a rilevanza sanitaria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</si>
  <si>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</si>
  <si>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</si>
  <si>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</si>
  <si>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</si>
  <si>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</si>
  <si>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</si>
  <si>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</si>
  <si>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</si>
  <si>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</si>
  <si>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</si>
  <si>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</si>
  <si>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</si>
  <si>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</si>
  <si>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</si>
  <si>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</si>
  <si>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</si>
  <si>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</si>
  <si>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</si>
  <si>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</si>
  <si>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 xml:space="preserve">Servizi non sanitari </t>
  </si>
  <si>
    <t>BA1570</t>
  </si>
  <si>
    <t>Lavanderia</t>
  </si>
  <si>
    <t>BA1580</t>
  </si>
  <si>
    <t>Pulizia</t>
  </si>
  <si>
    <t>BA1590</t>
  </si>
  <si>
    <t>Mensa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</si>
  <si>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</si>
  <si>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</si>
  <si>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</si>
  <si>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</si>
  <si>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</si>
  <si>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</si>
  <si>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</si>
  <si>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Servizi di assistenza informatica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</si>
  <si>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</si>
  <si>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</si>
  <si>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</si>
  <si>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</si>
  <si>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</si>
  <si>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</si>
  <si>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</si>
  <si>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</si>
  <si>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Utenze telefoniche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</si>
  <si>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</si>
  <si>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</si>
  <si>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</si>
  <si>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</si>
  <si>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</si>
  <si>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</si>
  <si>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</si>
  <si>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</si>
  <si>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</si>
  <si>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</si>
  <si>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</si>
  <si>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Premi di assicurazione</t>
  </si>
  <si>
    <t>BA1680</t>
  </si>
  <si>
    <t xml:space="preserve">Premi di assicurazione - R.C. Professionale </t>
  </si>
  <si>
    <t>BA1690</t>
  </si>
  <si>
    <t>Premi di assicurazione - Altri premi assicurativi</t>
  </si>
  <si>
    <t>BA1700</t>
  </si>
  <si>
    <t>Altri servizi non sanitari</t>
  </si>
  <si>
    <t>BA1710</t>
  </si>
  <si>
    <t>Altri servizi non sanitari da pubblico (Aziende sanitarie pubbliche della Regione)</t>
  </si>
  <si>
    <t>BA1720</t>
  </si>
  <si>
    <t>Altri servizi non sanitari da altri soggetti pubblici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</si>
  <si>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</si>
  <si>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</si>
  <si>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</si>
  <si>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</si>
  <si>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</si>
  <si>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</si>
  <si>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</si>
  <si>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</si>
  <si>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</si>
  <si>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</si>
  <si>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</si>
  <si>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</si>
  <si>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</si>
  <si>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</si>
  <si>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</si>
  <si>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</si>
  <si>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</si>
  <si>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</si>
  <si>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</si>
  <si>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Consulenze, Collaborazioni, Interinale e altre prestazioni di lavoro non sanitarie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</si>
  <si>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</si>
  <si>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</si>
  <si>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</si>
  <si>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</si>
  <si>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</si>
  <si>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Consulenze, Collaborazioni, Interinale e altre prestazioni di lavoro non sanitarie da privato</t>
  </si>
  <si>
    <t>BA1780</t>
  </si>
  <si>
    <t>Consulenze non sanitarie da privato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</si>
  <si>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</si>
  <si>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</si>
  <si>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</si>
  <si>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</si>
  <si>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</si>
  <si>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</si>
  <si>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</si>
  <si>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</si>
  <si>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 xml:space="preserve">Indennità a personale universitario - area non sanitaria </t>
  </si>
  <si>
    <t>BA1810</t>
  </si>
  <si>
    <t xml:space="preserve">Lavoro interinale - area non sanitaria </t>
  </si>
  <si>
    <t>BA1820</t>
  </si>
  <si>
    <t xml:space="preserve">Altre collaborazioni e prestazioni di lavoro - area non sanitaria 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</si>
  <si>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</si>
  <si>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</si>
  <si>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</si>
  <si>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</si>
  <si>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</si>
  <si>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Altre Consulenze non sanitarie da privato - in attuazione dell’art.79, comma 1 sexies lettera c), del D.L. 112/2008, convertito con legge 133/2008 e della legge 23 dicembre 2009 n. 191.</t>
  </si>
  <si>
    <t>BA1831</t>
  </si>
  <si>
    <t>Rimborso oneri stipendiali del personale non sanitario in comando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</si>
  <si>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</si>
  <si>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</si>
  <si>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</si>
  <si>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</si>
  <si>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</si>
  <si>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</si>
  <si>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</si>
  <si>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Formazione (esternalizzata e non)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</si>
  <si>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</si>
  <si>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</si>
  <si>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</si>
  <si>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</si>
  <si>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</si>
  <si>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(ordinaria esternalizzata)</t>
  </si>
  <si>
    <t>Manutenzione e riparazione ai fabbricati e loro pertinenze</t>
  </si>
  <si>
    <t>BA1920</t>
  </si>
  <si>
    <t>Manutenzione e riparazione agli impianti e macchinari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</si>
  <si>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</si>
  <si>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</si>
  <si>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</si>
  <si>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</si>
  <si>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</si>
  <si>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</si>
  <si>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</si>
  <si>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</si>
  <si>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</si>
  <si>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</si>
  <si>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</si>
  <si>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</si>
  <si>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</si>
  <si>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</si>
  <si>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</si>
  <si>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</si>
  <si>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</si>
  <si>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Fitti passivi</t>
  </si>
  <si>
    <t>BA2000</t>
  </si>
  <si>
    <t>Locazioni passive</t>
  </si>
  <si>
    <t>Spese condominiali</t>
  </si>
  <si>
    <t>Canoni di noleggio</t>
  </si>
  <si>
    <t>BA2010</t>
  </si>
  <si>
    <t>Canoni di noleggio - area sanitaria</t>
  </si>
  <si>
    <t>BA2020</t>
  </si>
  <si>
    <t>Canoni di noleggio - area non sanitaria</t>
  </si>
  <si>
    <t>BA2030</t>
  </si>
  <si>
    <t>Canoni hardware e software</t>
  </si>
  <si>
    <t>Canoni fotocopiatrici</t>
  </si>
  <si>
    <t>Canoni noleggio automezzi</t>
  </si>
  <si>
    <t>Canoni noleggio altro</t>
  </si>
  <si>
    <t>Canoni di leasing</t>
  </si>
  <si>
    <t>BA2040</t>
  </si>
  <si>
    <t>Canoni di leasing - area sanitaria</t>
  </si>
  <si>
    <t>BA2050</t>
  </si>
  <si>
    <t>Canoni di leasing operativo</t>
  </si>
  <si>
    <t>Canoni di leasing finanziario</t>
  </si>
  <si>
    <t>Canoni di leasing - area non sanitaria</t>
  </si>
  <si>
    <t>BA2060</t>
  </si>
  <si>
    <t>Canoni di project financing</t>
  </si>
  <si>
    <t>BA2061</t>
  </si>
  <si>
    <t>Locazioni e noleggi da Aziende sanitarie pubbliche della Regione</t>
  </si>
  <si>
    <t>BA2070</t>
  </si>
  <si>
    <t>Personale del ruolo sanitario</t>
  </si>
  <si>
    <t>BA2090</t>
  </si>
  <si>
    <t>Costo del personale dirigente ruolo sanitario</t>
  </si>
  <si>
    <t>BA2100</t>
  </si>
  <si>
    <t>Costo del personale dirigente medico</t>
  </si>
  <si>
    <t>BA2110</t>
  </si>
  <si>
    <t>Costo del personale dirigente medico - tempo indeterminato</t>
  </si>
  <si>
    <t>BA2120</t>
  </si>
  <si>
    <t>Voci di costo a carattere stipendiale</t>
  </si>
  <si>
    <t>Retribuzione di posizione</t>
  </si>
  <si>
    <t>Indennità di risultato:</t>
  </si>
  <si>
    <t>Indennità di risultato Dirigenza medica e veterinaria</t>
  </si>
  <si>
    <t>Indennità di risultato Dirigenza medica universitaria</t>
  </si>
  <si>
    <t>Altro trattamento accessorio:</t>
  </si>
  <si>
    <t>Competenze accessorie Dirigenza medica e veterinaria</t>
  </si>
  <si>
    <t>Competenze accessorie Dirigenza medica universitaria</t>
  </si>
  <si>
    <t>Altri oneri per il personale:</t>
  </si>
  <si>
    <t>Accantonamento al fondo per TFR dipendenti</t>
  </si>
  <si>
    <t>Accantonamento ai fondi integrativi pensione</t>
  </si>
  <si>
    <t>Altre competenze Dirigenza medica e veterinaria</t>
  </si>
  <si>
    <t>Altre competenze Dirigenza medica universitaria</t>
  </si>
  <si>
    <t>Oneri sociali su retribuzione:</t>
  </si>
  <si>
    <t>Oneri sociali Dirigenza medica e veterinaria</t>
  </si>
  <si>
    <t>Oneri sociali Dirigenza medica universitaria</t>
  </si>
  <si>
    <t>Costo del personale dirigente medico - tempo determinato</t>
  </si>
  <si>
    <t>BA2130</t>
  </si>
  <si>
    <t>Costo del personale dirigente medico - altro</t>
  </si>
  <si>
    <t>BA2140</t>
  </si>
  <si>
    <t>Costo del personale dirigente non medico</t>
  </si>
  <si>
    <t>BA2150</t>
  </si>
  <si>
    <t>Costo del personale dirigente non medico - tempo indeterminato</t>
  </si>
  <si>
    <t>BA2160</t>
  </si>
  <si>
    <t>Indennità di risultato</t>
  </si>
  <si>
    <t>Altro trattamento accessorio</t>
  </si>
  <si>
    <t>Altri oneri per il personale personale dirigente non medico:</t>
  </si>
  <si>
    <t>Altre competenze personale dirigente non medico</t>
  </si>
  <si>
    <t>Oneri sociali su retribuzione</t>
  </si>
  <si>
    <t>Costo del personale dirigente non medico - tempo determinato</t>
  </si>
  <si>
    <t>BA2170</t>
  </si>
  <si>
    <t>BA2180</t>
  </si>
  <si>
    <t>Costo del personale comparto ruolo sanitario</t>
  </si>
  <si>
    <t>BA2190</t>
  </si>
  <si>
    <t>Costo del personale comparto ruolo sanitario - tempo indeterminato</t>
  </si>
  <si>
    <t>BA2200</t>
  </si>
  <si>
    <t>Straordinario</t>
  </si>
  <si>
    <t>Indennità personale</t>
  </si>
  <si>
    <t>Retribuzione per produttività personale</t>
  </si>
  <si>
    <t>Altri oneri per il personale</t>
  </si>
  <si>
    <t>Costo del personale comparto ruolo sanitario - tempo determinato</t>
  </si>
  <si>
    <t>BA2210</t>
  </si>
  <si>
    <t>Costo del personale comparto ruolo sanitario - altro</t>
  </si>
  <si>
    <t>BA2220</t>
  </si>
  <si>
    <t>Personale del ruolo professionale</t>
  </si>
  <si>
    <t>BA2230</t>
  </si>
  <si>
    <t>Costo del personale dirigente ruolo professionale</t>
  </si>
  <si>
    <t>BA2240</t>
  </si>
  <si>
    <t>Costo del personale dirigente ruolo professionale - tempo indeterminato</t>
  </si>
  <si>
    <t>BA2250</t>
  </si>
  <si>
    <t>Altre competenze personale dirigente ruolo professionale</t>
  </si>
  <si>
    <t>Costo del personale dirigente ruolo professionale - tempo determinato</t>
  </si>
  <si>
    <t>BA2260</t>
  </si>
  <si>
    <t>Costo del personale dirigente ruolo professionale - altro</t>
  </si>
  <si>
    <t>BA2270</t>
  </si>
  <si>
    <t>Costo del personale comparto ruolo professionale</t>
  </si>
  <si>
    <t>BA2280</t>
  </si>
  <si>
    <t>Costo del personale comparto ruolo professionale - tempo indeterminato</t>
  </si>
  <si>
    <t>BA2290</t>
  </si>
  <si>
    <t>Costo del personale comparto ruolo professionale - tempo determinato</t>
  </si>
  <si>
    <t>BA2300</t>
  </si>
  <si>
    <t>Costo del personale comparto ruolo professionale - altro</t>
  </si>
  <si>
    <t>BA2310</t>
  </si>
  <si>
    <t>Personale del ruolo tecnico</t>
  </si>
  <si>
    <t>BA2320</t>
  </si>
  <si>
    <t>Costo del personale dirigente ruolo tecnico</t>
  </si>
  <si>
    <t>BA2330</t>
  </si>
  <si>
    <t>Costo del personale dirigente ruolo tecnico - tempo indeterminato</t>
  </si>
  <si>
    <t>BA2340</t>
  </si>
  <si>
    <t>Altre competenze personale dirigente ruolo tecnico</t>
  </si>
  <si>
    <t>Costo del personale dirigente ruolo tecnico - tempo determinato</t>
  </si>
  <si>
    <t>BA2350</t>
  </si>
  <si>
    <t>Costo del personale dirigente ruolo tecnico - altro</t>
  </si>
  <si>
    <t>BA2360</t>
  </si>
  <si>
    <t>Costo del personale comparto ruolo tecnico</t>
  </si>
  <si>
    <t>BA2370</t>
  </si>
  <si>
    <t>Costo del personale comparto ruolo tecnico - tempo indeterminato</t>
  </si>
  <si>
    <t>BA2380</t>
  </si>
  <si>
    <t>Costo del personale comparto ruolo tecnico - tempo determinato</t>
  </si>
  <si>
    <t>BA2390</t>
  </si>
  <si>
    <t>Costo del personale comparto ruolo tecnico - altro</t>
  </si>
  <si>
    <t>BA2400</t>
  </si>
  <si>
    <t>Personale del ruolo amministrativo</t>
  </si>
  <si>
    <t>BA2410</t>
  </si>
  <si>
    <t>Costo del personale dirigente ruolo amministrativo</t>
  </si>
  <si>
    <t>BA2420</t>
  </si>
  <si>
    <t>Costo del personale dirigente ruolo amministrativo - tempo indeterminato</t>
  </si>
  <si>
    <t>BA2430</t>
  </si>
  <si>
    <t>Altre competenze personale dirigente ruolo amministrativo</t>
  </si>
  <si>
    <t>Costo del personale dirigente ruolo amministrativo - tempo determinato</t>
  </si>
  <si>
    <t>BA2440</t>
  </si>
  <si>
    <t>Costo del personale dirigente ruolo amministrativo - altro</t>
  </si>
  <si>
    <t>BA2450</t>
  </si>
  <si>
    <t>Costo del personale comparto ruolo amministrativo</t>
  </si>
  <si>
    <t>BA2460</t>
  </si>
  <si>
    <t>Costo del personale comparto ruolo amministrativo - tempo indeterminato</t>
  </si>
  <si>
    <t>BA2470</t>
  </si>
  <si>
    <t>Costo del personale comparto ruolo amministrativo - tempo determinato</t>
  </si>
  <si>
    <t>BA2480</t>
  </si>
  <si>
    <t>Costo del personale comparto ruolo amministrativo - altro</t>
  </si>
  <si>
    <t>BA2490</t>
  </si>
  <si>
    <t>BA2500</t>
  </si>
  <si>
    <t>Imposte e tasse (escluso IRAP e IRES)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</si>
  <si>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</si>
  <si>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</si>
  <si>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</si>
  <si>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</si>
  <si>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</si>
  <si>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</si>
  <si>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</si>
  <si>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</si>
  <si>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</si>
  <si>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</si>
  <si>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</si>
  <si>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</si>
  <si>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Indennità, rimborso spese e oneri sociali per gli Organi Direttivi e Collegio Sindacale</t>
  </si>
  <si>
    <t>BA2540</t>
  </si>
  <si>
    <t>Compensi agli organi direttivi e di indirizzo</t>
  </si>
  <si>
    <t>Indennità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</si>
  <si>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</si>
  <si>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</si>
  <si>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</si>
  <si>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</si>
  <si>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</si>
  <si>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</si>
  <si>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</si>
  <si>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</si>
  <si>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</si>
  <si>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</si>
  <si>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</si>
  <si>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</si>
  <si>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Ammortamenti delle immobilizzazioni immateriali</t>
  </si>
  <si>
    <t>BA2570</t>
  </si>
  <si>
    <t>Ammortamento Costi di impianto e ampliamento</t>
  </si>
  <si>
    <t>Ammortamento Costi di ricerca, sviluppo</t>
  </si>
  <si>
    <t xml:space="preserve">Ammortamento Diritti di brevetto e diritti di utilizzazione delle opere d'ingegno derivanti dall'attività di ricerca 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</si>
  <si>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</si>
  <si>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</si>
  <si>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</si>
  <si>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</si>
  <si>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</si>
  <si>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Ammortamenti delle immobilizzazioni materiali</t>
  </si>
  <si>
    <t>BA2580</t>
  </si>
  <si>
    <t>Ammortamento dei fabbricati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</si>
  <si>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</si>
  <si>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</si>
  <si>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</si>
  <si>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</si>
  <si>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</si>
  <si>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Ammortamenti delle altre immobilizzazioni materiali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</si>
  <si>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</si>
  <si>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</si>
  <si>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</si>
  <si>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</si>
  <si>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</si>
  <si>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</si>
  <si>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Svalutazione delle immobilizzazioni e dei crediti</t>
  </si>
  <si>
    <t>BA2630</t>
  </si>
  <si>
    <t>Svalutazione delle immobilizzazioni immateriali e materiali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</si>
  <si>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</si>
  <si>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</si>
  <si>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</si>
  <si>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</si>
  <si>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</si>
  <si>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</si>
  <si>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</si>
  <si>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</si>
  <si>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</si>
  <si>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</si>
  <si>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</si>
  <si>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</si>
  <si>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</si>
  <si>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</si>
  <si>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 xml:space="preserve">Svalutazione automezzi </t>
  </si>
  <si>
    <t>Svalutazione oggetti d'arte</t>
  </si>
  <si>
    <t>Svalutazione altre immobilizzazioni materiali</t>
  </si>
  <si>
    <t>Svalutazione dei crediti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</si>
  <si>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</si>
  <si>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</si>
  <si>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</si>
  <si>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</si>
  <si>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</si>
  <si>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</si>
  <si>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</si>
  <si>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</si>
  <si>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</si>
  <si>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</si>
  <si>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</si>
  <si>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</si>
  <si>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</si>
  <si>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</si>
  <si>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</si>
  <si>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 xml:space="preserve">Svalutazione Crediti v/Stato per ricerca - altre Amministrazioni centrali 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</si>
  <si>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</si>
  <si>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</si>
  <si>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</si>
  <si>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</si>
  <si>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</si>
  <si>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</si>
  <si>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</si>
  <si>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</si>
  <si>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</si>
  <si>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</si>
  <si>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</si>
  <si>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</si>
  <si>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</si>
  <si>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</si>
  <si>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</si>
  <si>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</si>
  <si>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</si>
  <si>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</si>
  <si>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</si>
  <si>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</si>
  <si>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</si>
  <si>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</si>
  <si>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</si>
  <si>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</si>
  <si>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</si>
  <si>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</si>
  <si>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</si>
  <si>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</si>
  <si>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</si>
  <si>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Variazione rimanenze sanitarie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</si>
  <si>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</si>
  <si>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</si>
  <si>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</si>
  <si>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</si>
  <si>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</si>
  <si>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</si>
  <si>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</si>
  <si>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</si>
  <si>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</si>
  <si>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Variazione rimanenze non sanitarie</t>
  </si>
  <si>
    <t>BA2680</t>
  </si>
  <si>
    <t>BA2681</t>
  </si>
  <si>
    <t>BA2682</t>
  </si>
  <si>
    <t>BA2683</t>
  </si>
  <si>
    <t>BA2684</t>
  </si>
  <si>
    <t>BA2685</t>
  </si>
  <si>
    <t>BA2686</t>
  </si>
  <si>
    <t>Accantonamenti dell’esercizio</t>
  </si>
  <si>
    <t>BA2690</t>
  </si>
  <si>
    <t>Accantonamenti per rischi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</si>
  <si>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</si>
  <si>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</si>
  <si>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</si>
  <si>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</si>
  <si>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</si>
  <si>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</si>
  <si>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</si>
  <si>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</si>
  <si>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</si>
  <si>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</si>
  <si>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</si>
  <si>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</si>
  <si>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</si>
  <si>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</si>
  <si>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</si>
  <si>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</si>
  <si>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Accantonamenti per premio di operosità (SUMAI)</t>
  </si>
  <si>
    <t>BA2760</t>
  </si>
  <si>
    <t>Accantonamento al fondo SUMAI - Specialisti ambulatoriali</t>
  </si>
  <si>
    <t>Accantonamento al fondo SUMAI - altre professioni</t>
  </si>
  <si>
    <t>Accantonamenti per quote inutilizzate di contributi vincolati</t>
  </si>
  <si>
    <t>BA2770</t>
  </si>
  <si>
    <t xml:space="preserve"> Accantonamenti per quote inutilizzate contributi da Regione e Prov. Aut. per quota F.S. indistinto finalizzato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</si>
  <si>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</si>
  <si>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</si>
  <si>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</si>
  <si>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</si>
  <si>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</si>
  <si>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</si>
  <si>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</si>
  <si>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Accantonamenti per quote inutilizzate contributi vincolati da privati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</si>
  <si>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</si>
  <si>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</si>
  <si>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</si>
  <si>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</si>
  <si>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</si>
  <si>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</si>
  <si>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</si>
  <si>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</si>
  <si>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</si>
  <si>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</si>
  <si>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</si>
  <si>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</si>
  <si>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</si>
  <si>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</si>
  <si>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</si>
  <si>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</si>
  <si>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</si>
  <si>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</si>
  <si>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</si>
  <si>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</si>
  <si>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</si>
  <si>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</si>
  <si>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</si>
  <si>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</si>
  <si>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</si>
  <si>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</si>
  <si>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Interessi passivi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</si>
  <si>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</si>
  <si>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</si>
  <si>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</si>
  <si>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</si>
  <si>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</si>
  <si>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</si>
  <si>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</si>
  <si>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</si>
  <si>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</si>
  <si>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</si>
  <si>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</si>
  <si>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</si>
  <si>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</si>
  <si>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</si>
  <si>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</si>
  <si>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</si>
  <si>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</si>
  <si>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</si>
  <si>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</si>
  <si>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</si>
  <si>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</si>
  <si>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</si>
  <si>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</si>
  <si>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Sopravvenienze passive</t>
  </si>
  <si>
    <t>EA0310</t>
  </si>
  <si>
    <t>Sopravvenienze passive v/Aziende sanitarie pubbliche della Regione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</si>
  <si>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</si>
  <si>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</si>
  <si>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</si>
  <si>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</si>
  <si>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</si>
  <si>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Sopravvenienze passive v/terzi</t>
  </si>
  <si>
    <t>EA0350</t>
  </si>
  <si>
    <t>Sopravvenienze passive v/terzi relative alla mobilità extraregionale</t>
  </si>
  <si>
    <t>EA0360</t>
  </si>
  <si>
    <t>Sopravvenienze passive v/terzi relative al personale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</si>
  <si>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</si>
  <si>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</si>
  <si>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</si>
  <si>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</si>
  <si>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</si>
  <si>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</si>
  <si>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</si>
  <si>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</si>
  <si>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</si>
  <si>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</si>
  <si>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</si>
  <si>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</si>
  <si>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</si>
  <si>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</si>
  <si>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</si>
  <si>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</si>
  <si>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</si>
  <si>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Insussistenze passive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</si>
  <si>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</si>
  <si>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</si>
  <si>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</si>
  <si>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</si>
  <si>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</si>
  <si>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Insussistenze passive v/terzi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</si>
  <si>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</si>
  <si>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</si>
  <si>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</si>
  <si>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</si>
  <si>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</si>
  <si>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</si>
  <si>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</si>
  <si>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</si>
  <si>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</si>
  <si>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</si>
  <si>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</si>
  <si>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</si>
  <si>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</si>
  <si>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</si>
  <si>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</si>
  <si>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</si>
  <si>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</si>
  <si>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</si>
  <si>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</si>
  <si>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</si>
  <si>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</si>
  <si>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</si>
  <si>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</si>
  <si>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</si>
  <si>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</si>
  <si>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</si>
  <si>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</si>
  <si>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</si>
  <si>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</si>
  <si>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</si>
  <si>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</si>
  <si>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</si>
  <si>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MINISTERO DELLA SALUTE</t>
  </si>
  <si>
    <t>CE</t>
  </si>
  <si>
    <t>Direzione Generale della Programmazione Sanitaria</t>
  </si>
  <si>
    <t>Direzione Generale della Digitalizzazione, del Sistema Informativo Sanitario e della Statistica</t>
  </si>
  <si>
    <t>MODELLO DI RILEVAZIONE DEL CONTO ECONOMICO 
ENTI DEL SERVIZIO SANITARIO NAZIONALE</t>
  </si>
  <si>
    <t>STRUTTURA RILEVATA</t>
  </si>
  <si>
    <t xml:space="preserve"> REGIONE</t>
  </si>
  <si>
    <t>CONSUNTIVO</t>
  </si>
  <si>
    <t>APPROVAZIONE BILANCIO DA PARTE DEL COLLEGIO SINDACALE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</si>
  <si>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</si>
  <si>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</si>
  <si>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</si>
  <si>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</si>
  <si>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</si>
  <si>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</si>
  <si>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</si>
  <si>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</si>
  <si>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</si>
  <si>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</si>
  <si>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</si>
  <si>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</si>
  <si>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</si>
  <si>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</si>
  <si>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</si>
  <si>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</si>
  <si>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</si>
  <si>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</si>
  <si>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</si>
  <si>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</si>
  <si>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</si>
  <si>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</si>
  <si>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</si>
  <si>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</si>
  <si>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</si>
  <si>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</si>
  <si>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</si>
  <si>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</si>
  <si>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</si>
  <si>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</si>
  <si>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</si>
  <si>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</si>
  <si>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</si>
  <si>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</si>
  <si>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</si>
  <si>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</si>
  <si>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</si>
  <si>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</si>
  <si>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</si>
  <si>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</si>
  <si>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</si>
  <si>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</si>
  <si>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</si>
  <si>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</si>
  <si>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</si>
  <si>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</si>
  <si>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</si>
  <si>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</si>
  <si>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</si>
  <si>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</si>
  <si>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</si>
  <si>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</si>
  <si>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</si>
  <si>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</si>
  <si>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</si>
  <si>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</si>
  <si>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</si>
  <si>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</si>
  <si>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</si>
  <si>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</si>
  <si>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</si>
  <si>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</si>
  <si>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</si>
  <si>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</si>
  <si>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</si>
  <si>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</si>
  <si>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</si>
  <si>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</si>
  <si>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</si>
  <si>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</si>
  <si>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</si>
  <si>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</si>
  <si>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</si>
  <si>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</si>
  <si>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</si>
  <si>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</si>
  <si>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</si>
  <si>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</si>
  <si>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</si>
  <si>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</si>
  <si>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</si>
  <si>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</si>
  <si>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</si>
  <si>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</si>
  <si>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</si>
  <si>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</si>
  <si>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</si>
  <si>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</si>
  <si>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</si>
  <si>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</si>
  <si>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</si>
  <si>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</si>
  <si>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</si>
  <si>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</si>
  <si>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</si>
  <si>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</si>
  <si>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</si>
  <si>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</si>
  <si>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</si>
  <si>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</si>
  <si>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</si>
  <si>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</si>
  <si>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</si>
  <si>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</si>
  <si>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</si>
  <si>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</si>
  <si>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</si>
  <si>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</si>
  <si>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</si>
  <si>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</si>
  <si>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</si>
  <si>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</si>
  <si>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</si>
  <si>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</si>
  <si>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</si>
  <si>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</si>
  <si>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</si>
  <si>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</si>
  <si>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</si>
  <si>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</si>
  <si>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</si>
  <si>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</si>
  <si>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</si>
  <si>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</si>
  <si>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</si>
  <si>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</si>
  <si>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</si>
  <si>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</si>
  <si>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</si>
  <si>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</si>
  <si>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</si>
  <si>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</si>
  <si>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</si>
  <si>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</si>
  <si>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</si>
  <si>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</si>
  <si>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</si>
  <si>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</si>
  <si>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</si>
  <si>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</si>
  <si>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</si>
  <si>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</si>
  <si>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</si>
  <si>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</si>
  <si>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</si>
  <si>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</si>
  <si>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</si>
  <si>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</si>
  <si>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</si>
  <si>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</si>
  <si>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</si>
  <si>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</si>
  <si>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</si>
  <si>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</si>
  <si>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</si>
  <si>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</si>
  <si>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</si>
  <si>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</si>
  <si>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</si>
  <si>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</si>
  <si>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</si>
  <si>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</si>
  <si>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</si>
  <si>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</si>
  <si>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</si>
  <si>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</si>
  <si>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</si>
  <si>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</si>
  <si>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</si>
  <si>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</si>
  <si>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</si>
  <si>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</si>
  <si>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</si>
  <si>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</si>
  <si>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</si>
  <si>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</si>
  <si>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</si>
  <si>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</si>
  <si>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</si>
  <si>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</si>
  <si>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</si>
  <si>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</si>
  <si>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</si>
  <si>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</si>
  <si>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</si>
  <si>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</si>
  <si>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</si>
  <si>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</si>
  <si>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</si>
  <si>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</si>
  <si>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</si>
  <si>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</si>
  <si>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</si>
  <si>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</si>
  <si>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</si>
  <si>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</si>
  <si>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</si>
  <si>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</si>
  <si>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</si>
  <si>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</si>
  <si>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</si>
  <si>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</si>
  <si>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</si>
  <si>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</si>
  <si>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</si>
  <si>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</si>
  <si>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</si>
  <si>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</si>
  <si>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</si>
  <si>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</si>
  <si>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</si>
  <si>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</si>
  <si>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</si>
  <si>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</si>
  <si>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</si>
  <si>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</si>
  <si>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</si>
  <si>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</si>
  <si>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</si>
  <si>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</si>
  <si>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</si>
  <si>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</si>
  <si>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</si>
  <si>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</si>
  <si>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</si>
  <si>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</si>
  <si>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</si>
  <si>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</si>
  <si>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</si>
  <si>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</si>
  <si>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</si>
  <si>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</si>
  <si>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</si>
  <si>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</si>
  <si>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</si>
  <si>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</si>
  <si>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</si>
  <si>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</si>
  <si>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</si>
  <si>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</si>
  <si>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</si>
  <si>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</si>
  <si>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</si>
  <si>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</si>
  <si>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</si>
  <si>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</si>
  <si>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</si>
  <si>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</si>
  <si>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</si>
  <si>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</si>
  <si>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</si>
  <si>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</si>
  <si>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</si>
  <si>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</si>
  <si>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</si>
  <si>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</si>
  <si>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</si>
  <si>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</si>
  <si>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</si>
  <si>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</si>
  <si>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</si>
  <si>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</si>
  <si>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</si>
  <si>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</si>
  <si>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</si>
  <si>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</si>
  <si>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</si>
  <si>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</si>
  <si>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</si>
  <si>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</si>
  <si>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</si>
  <si>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</si>
  <si>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</si>
  <si>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</si>
  <si>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</si>
  <si>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</si>
  <si>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</si>
  <si>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</si>
  <si>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</si>
  <si>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</si>
  <si>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</si>
  <si>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</si>
  <si>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</si>
  <si>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</si>
  <si>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</si>
  <si>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</si>
  <si>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</si>
  <si>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</si>
  <si>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</si>
  <si>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</si>
  <si>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</si>
  <si>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</si>
  <si>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</si>
  <si>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</si>
  <si>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</si>
  <si>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</si>
  <si>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</si>
  <si>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</si>
  <si>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</si>
  <si>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</si>
  <si>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</si>
  <si>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</si>
  <si>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</si>
  <si>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</si>
  <si>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</si>
  <si>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</si>
  <si>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</si>
  <si>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</si>
  <si>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</si>
  <si>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</si>
  <si>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</si>
  <si>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</si>
  <si>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</si>
  <si>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</si>
  <si>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</si>
  <si>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</si>
  <si>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</si>
  <si>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</si>
  <si>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</si>
  <si>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</si>
  <si>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</si>
  <si>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</si>
  <si>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</si>
  <si>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</si>
  <si>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</si>
  <si>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</si>
  <si>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</si>
  <si>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</si>
  <si>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</si>
  <si>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</si>
  <si>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</si>
  <si>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</si>
  <si>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</si>
  <si>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</si>
  <si>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</si>
  <si>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</si>
  <si>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</si>
  <si>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</si>
  <si>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</si>
  <si>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</si>
  <si>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</si>
  <si>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</si>
  <si>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</si>
  <si>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</si>
  <si>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</si>
  <si>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</si>
  <si>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</si>
  <si>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</si>
  <si>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</si>
  <si>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</si>
  <si>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</si>
  <si>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</si>
  <si>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</si>
  <si>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</si>
  <si>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</si>
  <si>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</si>
  <si>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</si>
  <si>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</si>
  <si>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</si>
  <si>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</si>
  <si>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</si>
  <si>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</si>
  <si>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</si>
  <si>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</si>
  <si>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</si>
  <si>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</si>
  <si>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</si>
  <si>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</si>
  <si>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</si>
  <si>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</si>
  <si>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</si>
  <si>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</si>
  <si>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</si>
  <si>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</si>
  <si>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</si>
  <si>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</si>
  <si>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</si>
  <si>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</si>
  <si>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</si>
  <si>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</si>
  <si>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</si>
  <si>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</si>
  <si>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</si>
  <si>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</si>
  <si>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</si>
  <si>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</si>
  <si>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</si>
  <si>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</si>
  <si>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</si>
  <si>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</si>
  <si>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</si>
  <si>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</si>
  <si>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</si>
  <si>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</si>
  <si>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</si>
  <si>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</si>
  <si>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</si>
  <si>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</si>
  <si>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</si>
  <si>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</si>
  <si>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</si>
  <si>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</si>
  <si>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</si>
  <si>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</si>
  <si>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</si>
  <si>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</si>
  <si>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</si>
  <si>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</si>
  <si>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</si>
  <si>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</si>
  <si>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</si>
  <si>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</si>
  <si>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</si>
  <si>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</si>
  <si>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</si>
  <si>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</si>
  <si>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</si>
  <si>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</si>
  <si>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</si>
  <si>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</si>
  <si>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</si>
  <si>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</si>
  <si>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</si>
  <si>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</si>
  <si>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</si>
  <si>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</si>
  <si>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</si>
  <si>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</si>
  <si>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</si>
  <si>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</si>
  <si>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</si>
  <si>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</si>
  <si>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</si>
  <si>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</si>
  <si>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</si>
  <si>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</si>
  <si>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</si>
  <si>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</si>
  <si>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</si>
  <si>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</si>
  <si>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</si>
  <si>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</si>
  <si>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</si>
  <si>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</si>
  <si>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</si>
  <si>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</si>
  <si>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</si>
  <si>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</si>
  <si>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</si>
  <si>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</si>
  <si>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</si>
  <si>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</si>
  <si>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</si>
  <si>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</si>
  <si>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</si>
  <si>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</si>
  <si>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</si>
  <si>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</si>
  <si>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</si>
  <si>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</si>
  <si>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</si>
  <si>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</si>
  <si>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</si>
  <si>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</si>
  <si>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</si>
  <si>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</si>
  <si>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</si>
  <si>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</si>
  <si>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</si>
  <si>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</si>
  <si>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</si>
  <si>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</si>
  <si>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</si>
  <si>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</si>
  <si>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</si>
  <si>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</si>
  <si>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</si>
  <si>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</si>
  <si>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</si>
  <si>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</si>
  <si>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</si>
  <si>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</si>
  <si>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</si>
  <si>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</si>
  <si>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</si>
  <si>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</si>
  <si>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</si>
  <si>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</si>
  <si>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</si>
  <si>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</si>
  <si>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</si>
  <si>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</si>
  <si>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</si>
  <si>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</si>
  <si>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</si>
  <si>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</si>
  <si>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</si>
  <si>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</si>
  <si>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</si>
  <si>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</si>
  <si>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</si>
  <si>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</si>
  <si>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</si>
  <si>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</si>
  <si>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</si>
  <si>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</si>
  <si>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</si>
  <si>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</si>
  <si>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</si>
  <si>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</si>
  <si>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</si>
  <si>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</si>
  <si>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</si>
  <si>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</si>
  <si>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</si>
  <si>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</si>
  <si>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</si>
  <si>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</si>
  <si>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</si>
  <si>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</si>
  <si>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</si>
  <si>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</si>
  <si>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</si>
  <si>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</si>
  <si>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</si>
  <si>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</si>
  <si>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</si>
  <si>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</si>
  <si>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</si>
  <si>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</si>
  <si>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</si>
  <si>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</si>
  <si>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</si>
  <si>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</si>
  <si>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</si>
  <si>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</si>
  <si>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</si>
  <si>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</si>
  <si>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</si>
  <si>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</si>
  <si>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</si>
  <si>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</si>
  <si>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</si>
  <si>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</si>
  <si>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</si>
  <si>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</si>
  <si>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</si>
  <si>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</si>
  <si>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</si>
  <si>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</si>
  <si>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</si>
  <si>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</si>
  <si>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</si>
  <si>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</si>
  <si>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</si>
  <si>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</si>
  <si>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</si>
  <si>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</si>
  <si>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</si>
  <si>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</si>
  <si>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</si>
  <si>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</si>
  <si>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</si>
  <si>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</si>
  <si>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</si>
  <si>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</si>
  <si>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</si>
  <si>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</si>
  <si>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</si>
  <si>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</si>
  <si>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</si>
  <si>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</si>
  <si>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</si>
  <si>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</si>
  <si>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</si>
  <si>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</si>
  <si>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</si>
  <si>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</si>
  <si>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</si>
  <si>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</si>
  <si>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</si>
  <si>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</si>
  <si>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</si>
  <si>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</si>
  <si>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</si>
  <si>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</si>
  <si>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</si>
  <si>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</si>
  <si>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Data ……………………</t>
  </si>
  <si>
    <t>Il Funzionario responsabile dell'area economico-finanziaria</t>
  </si>
  <si>
    <t>………………………………………………………………………..</t>
  </si>
  <si>
    <t>Prestazioni di pronto soccorso non seguite da ricovero</t>
  </si>
  <si>
    <t>Finanziamento indistinto</t>
  </si>
  <si>
    <t>Funzioni</t>
  </si>
  <si>
    <t>Compartecipazione alla spesa per prestazioni sanitarie - Ticket sulle prestazioni di specialistica ambulatoriale e APA-PAC</t>
  </si>
  <si>
    <t>SCHEMA DI BILANCIO
Decreto interministeriale 20 marzo 2013</t>
  </si>
  <si>
    <t>Variazione
proiezione/preventivo</t>
  </si>
  <si>
    <t>Variazione
proiezione/consuntivo</t>
  </si>
  <si>
    <t xml:space="preserve">Altri beni e prodotti non sanitari </t>
  </si>
  <si>
    <t>Proiezione
al 31/12/2020</t>
  </si>
  <si>
    <t>Preventivo
2020</t>
  </si>
  <si>
    <t>Consuntivo
2019</t>
  </si>
  <si>
    <t>A)  Valore della produzione</t>
  </si>
  <si>
    <t>report al 30.06.2020</t>
  </si>
  <si>
    <t>report 31.07.2020</t>
  </si>
  <si>
    <t>di cui del report al 31.07.2020</t>
  </si>
  <si>
    <t>maggiori ricavi direttamente collegati all'emergenza COVID-19</t>
  </si>
  <si>
    <t>minori ricavi attribuibili alla riduzione dell'attività ordinaria per l'emergenza COVID-19</t>
  </si>
  <si>
    <t>SOMMA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</si>
  <si>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</si>
  <si>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</si>
  <si>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RICAVI</t>
  </si>
  <si>
    <t>Aggregazioni codice CE ed. 2019</t>
  </si>
  <si>
    <t>VOCE</t>
  </si>
  <si>
    <t xml:space="preserve">contributi da Regione e Prov. Aut. per quota F.S. regionale </t>
  </si>
  <si>
    <t>1</t>
  </si>
  <si>
    <t xml:space="preserve">AA0020 </t>
  </si>
  <si>
    <t>rettifica contributi in c/esercizio per destinazione ad investimenti</t>
  </si>
  <si>
    <t>contributi da regione a titolo di copertura LEA</t>
  </si>
  <si>
    <t>contributi da regione a titolo di copertura extra LEA</t>
  </si>
  <si>
    <t>utilizzo fondi per quote inutilizzate contributi di esercizi precedenti</t>
  </si>
  <si>
    <t>altri contributi in conto esercizio</t>
  </si>
  <si>
    <t>AA0050-AA0080-AA0090+AA0180+AA0230</t>
  </si>
  <si>
    <t>compartecipazioni</t>
  </si>
  <si>
    <t>payback</t>
  </si>
  <si>
    <t>altre entrate</t>
  </si>
  <si>
    <t>AA0440+AA0480+AA0570+AA0600+AA0660+AA0710+AA0720+AA0760+AA0770+AA0800+AA0840+AA0930+AA1060+CA0010+CA0050</t>
  </si>
  <si>
    <t>rettifica contributi in c/esercizio per destinazione ad investimenti - altri contributi</t>
  </si>
  <si>
    <t>costi capitalizzati</t>
  </si>
  <si>
    <t>AA0980+AA1050</t>
  </si>
  <si>
    <t>mobilità attiva intraregionale</t>
  </si>
  <si>
    <t>mobilità attiva extraregionale</t>
  </si>
  <si>
    <t>AA0460+AA0470+AA0471+AA0490+AA0500+AA0510+AA0520+AA0530+AA0541+AA0542+AA0550+AA0560+AA0561+AA0610</t>
  </si>
  <si>
    <t>TOTALE RICAVI</t>
  </si>
  <si>
    <t>14 = 1+2+3+4+5+6+7+8+9+10+11+12+13</t>
  </si>
  <si>
    <t>COSTI</t>
  </si>
  <si>
    <t>personale</t>
  </si>
  <si>
    <t>15 = 15a+15b+15c+
15d+15e</t>
  </si>
  <si>
    <t>Personale ruolo sanitario</t>
  </si>
  <si>
    <t>15a</t>
  </si>
  <si>
    <t>Personale ruolo professionale</t>
  </si>
  <si>
    <t>15b</t>
  </si>
  <si>
    <t>Personale ruolo tecnico</t>
  </si>
  <si>
    <t>15c</t>
  </si>
  <si>
    <t>Personale ruolo amministrativo</t>
  </si>
  <si>
    <t>15d</t>
  </si>
  <si>
    <t>indennità " de maria"</t>
  </si>
  <si>
    <t>15e</t>
  </si>
  <si>
    <t>BA1420+BA1810</t>
  </si>
  <si>
    <t>irap</t>
  </si>
  <si>
    <t>beni</t>
  </si>
  <si>
    <t>17 = 17a+17b</t>
  </si>
  <si>
    <t>beni sanitari</t>
  </si>
  <si>
    <t>17a</t>
  </si>
  <si>
    <t>BA0020-BA0080-BA0090-B0061-B0062</t>
  </si>
  <si>
    <t>beni non sanitari</t>
  </si>
  <si>
    <t>17b</t>
  </si>
  <si>
    <t>servizi</t>
  </si>
  <si>
    <t>18 = 18a+18b</t>
  </si>
  <si>
    <t>servizi sanitari</t>
  </si>
  <si>
    <t>18a</t>
  </si>
  <si>
    <t>BA1280+BA1350-BA1420+BA1490</t>
  </si>
  <si>
    <t>servizi non sanitari</t>
  </si>
  <si>
    <t>18b</t>
  </si>
  <si>
    <t>BA1570+BA1910+BA1990+BA2530+BA1750-BA1810+BA1880</t>
  </si>
  <si>
    <t>prestazioni da privato</t>
  </si>
  <si>
    <t>19 = 19a+19b+19c+
19d+19e+19f+19g</t>
  </si>
  <si>
    <t>medicina di base</t>
  </si>
  <si>
    <t>19a</t>
  </si>
  <si>
    <t>farmaceutica convenzionata</t>
  </si>
  <si>
    <t>19b</t>
  </si>
  <si>
    <t xml:space="preserve">BA0500 </t>
  </si>
  <si>
    <t>sumai - specialistica convenzionata interna</t>
  </si>
  <si>
    <t>19c</t>
  </si>
  <si>
    <t>BA570</t>
  </si>
  <si>
    <t>assistenza specialistica da privato</t>
  </si>
  <si>
    <t>19d</t>
  </si>
  <si>
    <t>BA0580+BA0630</t>
  </si>
  <si>
    <t>assistenza riabilitativa da privato</t>
  </si>
  <si>
    <t>19e</t>
  </si>
  <si>
    <t>BA0680+BA0690</t>
  </si>
  <si>
    <t>assistenza ospedaliera da privato</t>
  </si>
  <si>
    <t>19f</t>
  </si>
  <si>
    <t>BA0840+BA0890</t>
  </si>
  <si>
    <t>altre prestazioni da privato</t>
  </si>
  <si>
    <t>19g</t>
  </si>
  <si>
    <t>BA0740+BA0790+BA0940 +BA0950+BA1000+BA1010+BA1020+BA1070+BA1080+
BA1130+BA1180+BA1190+BA1240+BA1250</t>
  </si>
  <si>
    <t>prestazioni da pubblico</t>
  </si>
  <si>
    <t>BA0550+BA0660+BA0670+BA0720+BA0770+BA0820+BA0920+BA0930+BA0980+
BA1050+BA1110+BA1160+BA1170</t>
  </si>
  <si>
    <t>accantonamenti</t>
  </si>
  <si>
    <t>oneri finanziari</t>
  </si>
  <si>
    <t>CA0110+CA0150</t>
  </si>
  <si>
    <t>oneri fiscali (netto irap)</t>
  </si>
  <si>
    <t>BA2510+YA0060+YA0090</t>
  </si>
  <si>
    <t>ammortamenti</t>
  </si>
  <si>
    <t xml:space="preserve">mobilità passiva intraregionale </t>
  </si>
  <si>
    <t>BA0061+BA0080+BA0470+BA0510+BA0540+BA0650+BA0710+BA0760+BA0810+
BA0910+BA0970+BA1040+BA1100+BA1150</t>
  </si>
  <si>
    <t>mobilità passiva extraregionale</t>
  </si>
  <si>
    <t>BA0062+BA0090+BA0480+BA0520+BA0560+BA0561+BA0730+BA0780+BA0830+
BA0990+BA1060+BA1120+BA1161+BA1550</t>
  </si>
  <si>
    <t>saldo poste straordinarie</t>
  </si>
  <si>
    <t>-EA0010+EA0260+BA2660</t>
  </si>
  <si>
    <t>rivalutazioni e svalutazioni</t>
  </si>
  <si>
    <t>-DA0010+DA0020+BA2630+BA2520</t>
  </si>
  <si>
    <t>saldo intramoenia</t>
  </si>
  <si>
    <t>-AA0680-AA0690-AA0700-AA0730-AA0740+BA1210+BA1220+BA1230+BA1260+
BA1270</t>
  </si>
  <si>
    <t>TOTALE COSTI con poste a saldo</t>
  </si>
  <si>
    <t>30 = 
15+16+17+18+19+
20+21+22+23+24+
25+26+27+28+29</t>
  </si>
  <si>
    <t>31 = 14-30</t>
  </si>
  <si>
    <t>Conto economico sintetico ex art. 44 LR 26/2015 – periodo 31/01/2020 – 31/07/2020
anno 2020</t>
  </si>
  <si>
    <t>TIPO CONTO</t>
  </si>
  <si>
    <t>300IVAMAIC</t>
  </si>
  <si>
    <t>IVA indetraibile acquisti intercompany per medicinali con AIC</t>
  </si>
  <si>
    <t>300IVAMEDNA</t>
  </si>
  <si>
    <t>IVA indetraibile acquisti intercompany per medicinali senza AIC</t>
  </si>
  <si>
    <t>300IVADM</t>
  </si>
  <si>
    <t xml:space="preserve">IVA indetraibile acquisti intercompany per dispositivi medici </t>
  </si>
  <si>
    <t>300IVADIMP</t>
  </si>
  <si>
    <t>IVA indetraibile acquisti intercompany per dispositivi medici impiantabili attivi</t>
  </si>
  <si>
    <t>300IVADIVD</t>
  </si>
  <si>
    <t>IVA indetraibile acquisti intercompany per dispositivi medico diagnostici in vitro (IVD)</t>
  </si>
  <si>
    <t>300IVADIET</t>
  </si>
  <si>
    <t>IVA indetraibile acquisti intercompany per prodotti dietetici</t>
  </si>
  <si>
    <t>300IVAVAC</t>
  </si>
  <si>
    <t>IVA indetraibile acquisti intercompany per materiali per la profilassi (vaccini)</t>
  </si>
  <si>
    <t>300IVACHIM</t>
  </si>
  <si>
    <t>IVA indetraibile acquisti intercompany per prodotti chimici</t>
  </si>
  <si>
    <t>300IVAVET</t>
  </si>
  <si>
    <t>IVA indetraibile acquisti intercompany per materiali e prodotti per uso veterinario</t>
  </si>
  <si>
    <t>300IVABENSAN</t>
  </si>
  <si>
    <t>IVA indetraibile acquisti intercompany per altri beni e prodotti sanitari</t>
  </si>
  <si>
    <t>300.100.P50</t>
  </si>
  <si>
    <t>300IVAALIM</t>
  </si>
  <si>
    <t>IVA indetraibile acquisti intercompany per prodotti alimentari</t>
  </si>
  <si>
    <t>300IVAGUARD</t>
  </si>
  <si>
    <t>IVA indetraibile acquisti intercompany per materiali di guardaroba, di pulizia e di convivenza in genere</t>
  </si>
  <si>
    <t>300IVACOMB</t>
  </si>
  <si>
    <t>IVA indetraibile acquisti intercompany per combustibili, carburanti e lubrificanti</t>
  </si>
  <si>
    <t>300IVACANC</t>
  </si>
  <si>
    <t>IVA indetraibile acquisti intercompany per supporti informatici e cancelleria</t>
  </si>
  <si>
    <t>300IVAMATMAN</t>
  </si>
  <si>
    <t>IVA indetraibile acquisti intercompany per materiali per manutenzione</t>
  </si>
  <si>
    <t>300IVABNSAN</t>
  </si>
  <si>
    <t>IVA indetraibile acquisti intercompany per altri beni e prodotti non sanitari</t>
  </si>
  <si>
    <t>305UNI.POS</t>
  </si>
  <si>
    <t xml:space="preserve">Retribuzione di posizione personale sanitario universitario </t>
  </si>
  <si>
    <t>305UNI.RIS</t>
  </si>
  <si>
    <t>305UNI.D.RIS</t>
  </si>
  <si>
    <t>305UNI.C.LAV</t>
  </si>
  <si>
    <t>305UNI.D.ACC</t>
  </si>
  <si>
    <t>305UNI.ALCO</t>
  </si>
  <si>
    <t>305UNI.D.ALT</t>
  </si>
  <si>
    <t>305UNI.I.ONE</t>
  </si>
  <si>
    <t>305UNI.D.ONE</t>
  </si>
  <si>
    <t>320C.S.I.INC</t>
  </si>
  <si>
    <t xml:space="preserve">Incarichi </t>
  </si>
  <si>
    <t>320C.S.I.PRE</t>
  </si>
  <si>
    <t xml:space="preserve">Progressioni economiche </t>
  </si>
  <si>
    <t>320C.S.D.INC</t>
  </si>
  <si>
    <t>320C.S.D.PRE</t>
  </si>
  <si>
    <t>320.200.CRD</t>
  </si>
  <si>
    <t>Costo del personale comparto ruolo ricercatori piramide - tempo determinato</t>
  </si>
  <si>
    <t>320C.R.D.FIS</t>
  </si>
  <si>
    <t>320C.R.D.STR</t>
  </si>
  <si>
    <t>320C.R.D.IND</t>
  </si>
  <si>
    <t>320C.R.D.INC</t>
  </si>
  <si>
    <t>Incarichi</t>
  </si>
  <si>
    <t>320C.R.D.PRE</t>
  </si>
  <si>
    <t>Progressioni economiche</t>
  </si>
  <si>
    <t>320C.R.D.PRO</t>
  </si>
  <si>
    <t>320C.R.D.CLA</t>
  </si>
  <si>
    <t>320ALTONCRD</t>
  </si>
  <si>
    <t>320C.R.D.TFR</t>
  </si>
  <si>
    <t>320C.R.D.PEN</t>
  </si>
  <si>
    <t>320C.R.D.ALT</t>
  </si>
  <si>
    <t>320C.R.D.ONE</t>
  </si>
  <si>
    <t>320.200.CCD</t>
  </si>
  <si>
    <t>Costo del personale comparto ruolo collaboratori piramide - tempo determinato</t>
  </si>
  <si>
    <t>320C.C.D.FIS</t>
  </si>
  <si>
    <t>320C.C.D.STR</t>
  </si>
  <si>
    <t>320C.C.D.IND</t>
  </si>
  <si>
    <t>320C.C.D.INC</t>
  </si>
  <si>
    <t>320C.C.D.PRE</t>
  </si>
  <si>
    <t>320C.C.D.PRO</t>
  </si>
  <si>
    <t>320C.C.D.CLA</t>
  </si>
  <si>
    <t>320ALTONCCD</t>
  </si>
  <si>
    <t>320C.C.D.TFR</t>
  </si>
  <si>
    <t>320C.C.D.PEN</t>
  </si>
  <si>
    <t>320C.C.D.ALT</t>
  </si>
  <si>
    <t>320C.C.D.ONE</t>
  </si>
  <si>
    <t>325C.P.I.INC</t>
  </si>
  <si>
    <t>325C.P.I.PRE</t>
  </si>
  <si>
    <t>325C.P.D.INC</t>
  </si>
  <si>
    <t>325C.P.D.PRE</t>
  </si>
  <si>
    <t>330C.T.I.INC</t>
  </si>
  <si>
    <t>330C.T.I.PRE</t>
  </si>
  <si>
    <t>330.200.CSSI</t>
  </si>
  <si>
    <t>Costo del personale comparto ruolo sociosanitario - tempo indeterminato</t>
  </si>
  <si>
    <t>330CSS.I.FIS</t>
  </si>
  <si>
    <t>330CSS.I.STR</t>
  </si>
  <si>
    <t>330CSS.I.IND</t>
  </si>
  <si>
    <t>330CSS.I.INC</t>
  </si>
  <si>
    <t>330CSS.I.PRE</t>
  </si>
  <si>
    <t>330CSS.I.PRO</t>
  </si>
  <si>
    <t>330CSS.I.CLA</t>
  </si>
  <si>
    <t>330ALTONCSSI</t>
  </si>
  <si>
    <t>330CSS.I.TFR</t>
  </si>
  <si>
    <t>330CSS.I.PEN</t>
  </si>
  <si>
    <t>330CSS.I.ALT</t>
  </si>
  <si>
    <t>330CSS.I.ONE</t>
  </si>
  <si>
    <t>330C.T.D.INC</t>
  </si>
  <si>
    <t>330C.T.D.PRE</t>
  </si>
  <si>
    <t>330.200.CSSD</t>
  </si>
  <si>
    <t>Costo del personale comparto ruolo sociosanitario - tempo determinato</t>
  </si>
  <si>
    <t>330CSS.D.FIS</t>
  </si>
  <si>
    <t>330CSS.D.STR</t>
  </si>
  <si>
    <t>330CSS.D.IND</t>
  </si>
  <si>
    <t>330CSS.D.INC</t>
  </si>
  <si>
    <t>330CSS.D.PRE</t>
  </si>
  <si>
    <t>330CSS.D.PRO</t>
  </si>
  <si>
    <t>330CSS.D.CLA</t>
  </si>
  <si>
    <t>330ALTONCSSD</t>
  </si>
  <si>
    <t>330CSS.D.TFR</t>
  </si>
  <si>
    <t>330CSS.D.PEN</t>
  </si>
  <si>
    <t>330CSS.D.ALT</t>
  </si>
  <si>
    <t>330CSS.D.ONE</t>
  </si>
  <si>
    <t>335C.A.I.INC</t>
  </si>
  <si>
    <t>335C.A.I.PRE</t>
  </si>
  <si>
    <t>335C.A.D.INC</t>
  </si>
  <si>
    <t>335C.A.D.PRE</t>
  </si>
  <si>
    <t>300.100</t>
  </si>
  <si>
    <t>300.100.P47</t>
  </si>
  <si>
    <t>300MEDIC.AIC</t>
  </si>
  <si>
    <t>300MED.N.AIC</t>
  </si>
  <si>
    <t>300OSSIGENO</t>
  </si>
  <si>
    <t>300EMOD.REGI</t>
  </si>
  <si>
    <t>300EMO.INTRE</t>
  </si>
  <si>
    <t>300EMO.EXREG</t>
  </si>
  <si>
    <t>300EMO.ALTRI</t>
  </si>
  <si>
    <t>300.100.P48</t>
  </si>
  <si>
    <t>300SANGUE.RE</t>
  </si>
  <si>
    <t>300SANGUE.EX</t>
  </si>
  <si>
    <t>300SANGUE.AL</t>
  </si>
  <si>
    <t>300.100.P49</t>
  </si>
  <si>
    <t>300DISPOSITI</t>
  </si>
  <si>
    <t>300DISP.IMP.</t>
  </si>
  <si>
    <t>300DISP.IVD.</t>
  </si>
  <si>
    <t>300DIETETICI</t>
  </si>
  <si>
    <t>300M.VACCINI</t>
  </si>
  <si>
    <t>300P.CHIMIC</t>
  </si>
  <si>
    <t>300VETERINAR</t>
  </si>
  <si>
    <t>300A.BEN.SAN</t>
  </si>
  <si>
    <t>300R.MEDIC.A</t>
  </si>
  <si>
    <t>300R.MED.N.A</t>
  </si>
  <si>
    <t>300R.SANGUE.</t>
  </si>
  <si>
    <t>300R.DISPOSI</t>
  </si>
  <si>
    <t>300R.DISP.IM</t>
  </si>
  <si>
    <t>300R.DIS.IVD</t>
  </si>
  <si>
    <t>300R.DIETETI</t>
  </si>
  <si>
    <t>300R.VACCINI</t>
  </si>
  <si>
    <t>300R.CHIMICI</t>
  </si>
  <si>
    <t>300R.VETERIN</t>
  </si>
  <si>
    <t>300R.BEN.SAN</t>
  </si>
  <si>
    <t>300.200</t>
  </si>
  <si>
    <t>300ALIMENTAR</t>
  </si>
  <si>
    <t>300GUARDAROB</t>
  </si>
  <si>
    <t>300COMBUSTIB</t>
  </si>
  <si>
    <t>300.200.P51</t>
  </si>
  <si>
    <t>300CANCELLER</t>
  </si>
  <si>
    <t>300INFORMATI</t>
  </si>
  <si>
    <t>300DIDATTICO</t>
  </si>
  <si>
    <t>300.200.P52</t>
  </si>
  <si>
    <t>300MAN.B.SAN</t>
  </si>
  <si>
    <t>300MANB.N.SA</t>
  </si>
  <si>
    <t>300A.BEN.N.S</t>
  </si>
  <si>
    <t>300.200.P53</t>
  </si>
  <si>
    <t>300R.ALIMENT</t>
  </si>
  <si>
    <t>300R.GUARDAR</t>
  </si>
  <si>
    <t>300R.COMBUST</t>
  </si>
  <si>
    <t>300R.CANCELL</t>
  </si>
  <si>
    <t>300R.MANUTEN</t>
  </si>
  <si>
    <t>300R.BEN.N.S</t>
  </si>
  <si>
    <t>305.100</t>
  </si>
  <si>
    <t>305.100.P76</t>
  </si>
  <si>
    <t>305.100.P77</t>
  </si>
  <si>
    <t>305.100.P78</t>
  </si>
  <si>
    <t>305MMG.FISSE</t>
  </si>
  <si>
    <t>305MMG.PONDE</t>
  </si>
  <si>
    <t>305MMG.QUALI</t>
  </si>
  <si>
    <t>305MMG.CAPIT</t>
  </si>
  <si>
    <t>305MMG.A.C.N</t>
  </si>
  <si>
    <t>305MMG.A.REG</t>
  </si>
  <si>
    <t>305MMG.A.AZI</t>
  </si>
  <si>
    <t>305MMG.MALAT</t>
  </si>
  <si>
    <t>305MMG.FORMA</t>
  </si>
  <si>
    <t>305MMG.ALTRE</t>
  </si>
  <si>
    <t>305MMG.ONERI</t>
  </si>
  <si>
    <t>305.100.P79</t>
  </si>
  <si>
    <t>305PLS.FISSE</t>
  </si>
  <si>
    <t>305PLS.PONDE</t>
  </si>
  <si>
    <t>305PLS.QUALI</t>
  </si>
  <si>
    <t>305PLS.CAPIT</t>
  </si>
  <si>
    <t>305PLS.A.C.N</t>
  </si>
  <si>
    <t>305PLS.A.REG</t>
  </si>
  <si>
    <t>305PLS.A.AZI</t>
  </si>
  <si>
    <t>305PLS.MALAT</t>
  </si>
  <si>
    <t>305PLS.FORMA</t>
  </si>
  <si>
    <t>305PLS.ALTRE</t>
  </si>
  <si>
    <t>305PLS.ONERI</t>
  </si>
  <si>
    <t>305.100.P80</t>
  </si>
  <si>
    <t>305GMF.FISSE</t>
  </si>
  <si>
    <t>305EMT.FISSE</t>
  </si>
  <si>
    <t>305GMT.FISSE</t>
  </si>
  <si>
    <t>305GMF.A.REG</t>
  </si>
  <si>
    <t>305EMT.A.REG</t>
  </si>
  <si>
    <t>305GMT.A.REG</t>
  </si>
  <si>
    <t>305EMT.A.AZI</t>
  </si>
  <si>
    <t>305G.M.ALTRI</t>
  </si>
  <si>
    <t>305GMT.A.AZI</t>
  </si>
  <si>
    <t>305EMT.ASSIC</t>
  </si>
  <si>
    <t>305GMT.ASSIC</t>
  </si>
  <si>
    <t>305GMF.ONERI</t>
  </si>
  <si>
    <t>305EMT.ONERI</t>
  </si>
  <si>
    <t>305GMT.ONERI</t>
  </si>
  <si>
    <t>305.100.P81</t>
  </si>
  <si>
    <t>305A.M.FISSE</t>
  </si>
  <si>
    <t>305A.M.PONDE</t>
  </si>
  <si>
    <t>305A.M.QUALI</t>
  </si>
  <si>
    <t>305A.M.CAPIT</t>
  </si>
  <si>
    <t>305A.M.A.C.N</t>
  </si>
  <si>
    <t>305A.M.A.REG</t>
  </si>
  <si>
    <t>305A.M.A.AZI</t>
  </si>
  <si>
    <t>305A.M.MALAT</t>
  </si>
  <si>
    <t>305A.M.FORMA</t>
  </si>
  <si>
    <t>305A.M.ALTRE</t>
  </si>
  <si>
    <t>305.100.P54</t>
  </si>
  <si>
    <t>305.100.P55</t>
  </si>
  <si>
    <t>305FARMACEUT</t>
  </si>
  <si>
    <t>305FAR.RURAL</t>
  </si>
  <si>
    <t>305ASR.INTRA</t>
  </si>
  <si>
    <t>305PUB.EXTRA</t>
  </si>
  <si>
    <t>305.100.P56</t>
  </si>
  <si>
    <t>305.100.P57</t>
  </si>
  <si>
    <t>305ASR.AMBUL</t>
  </si>
  <si>
    <t>305ASR.AMB.F</t>
  </si>
  <si>
    <t>305ASR.PS</t>
  </si>
  <si>
    <t>305SPEC.PUB.</t>
  </si>
  <si>
    <t>305.ALTRI.PS</t>
  </si>
  <si>
    <t>305.100.P58</t>
  </si>
  <si>
    <t>305ASN.AMBUL</t>
  </si>
  <si>
    <t>305ASN.AMB.F</t>
  </si>
  <si>
    <t>305.EXREG.PS</t>
  </si>
  <si>
    <t>305.100.P59</t>
  </si>
  <si>
    <t>305SUMAI.FIS</t>
  </si>
  <si>
    <t>305SUMAI.PON</t>
  </si>
  <si>
    <t>305SUMAI.ACN</t>
  </si>
  <si>
    <t>305SUMAI.A.R</t>
  </si>
  <si>
    <t>305SUMAI.A.A</t>
  </si>
  <si>
    <t>305SUMAI.ALT</t>
  </si>
  <si>
    <t>305SUMAI.ONE</t>
  </si>
  <si>
    <t>305.100.P60</t>
  </si>
  <si>
    <t>305IRCCS.PRI</t>
  </si>
  <si>
    <t>305IRCCSP.PS</t>
  </si>
  <si>
    <t>305OSPED.PRI</t>
  </si>
  <si>
    <t>305OSPEDP.PS</t>
  </si>
  <si>
    <t>305CASE.PRIV</t>
  </si>
  <si>
    <t>305CASEP.PS</t>
  </si>
  <si>
    <t>305ALTRI.PRI</t>
  </si>
  <si>
    <t>305ALTRIP.PS</t>
  </si>
  <si>
    <t>305PRIV.EXTR</t>
  </si>
  <si>
    <t>305PRIVEX.PS</t>
  </si>
  <si>
    <t>305.100.P61</t>
  </si>
  <si>
    <t>305RIABI.ASR</t>
  </si>
  <si>
    <t>305RIABI.PUB</t>
  </si>
  <si>
    <t>305RIABI.EXT</t>
  </si>
  <si>
    <t>305.100.P62</t>
  </si>
  <si>
    <t>305AR26RIC.I</t>
  </si>
  <si>
    <t>305AR26AMB.I</t>
  </si>
  <si>
    <t>305.100.P63</t>
  </si>
  <si>
    <t>305AR26RIC.E</t>
  </si>
  <si>
    <t>305AR26AMB.E</t>
  </si>
  <si>
    <t>305.100.P64</t>
  </si>
  <si>
    <t>305SER.S.ASR</t>
  </si>
  <si>
    <t>305SER.S.REG</t>
  </si>
  <si>
    <t>305SER.S.EXT</t>
  </si>
  <si>
    <t>305.100.P65</t>
  </si>
  <si>
    <t>305AFIR.CONV</t>
  </si>
  <si>
    <t>305AUSILI.IN</t>
  </si>
  <si>
    <t>305OSS.TERAP</t>
  </si>
  <si>
    <t>305AFIR.ALTR</t>
  </si>
  <si>
    <t>305.100.P66</t>
  </si>
  <si>
    <t>305PROT.ASR.</t>
  </si>
  <si>
    <t>305PROT.PUBB</t>
  </si>
  <si>
    <t>305PROT.EXTR</t>
  </si>
  <si>
    <t>305.100.P67</t>
  </si>
  <si>
    <t>305PROTES.IN</t>
  </si>
  <si>
    <t>305SUPPOR.PR</t>
  </si>
  <si>
    <t>305.100.P68</t>
  </si>
  <si>
    <t>305.100.P69</t>
  </si>
  <si>
    <t>305ASR.DRG.R</t>
  </si>
  <si>
    <t>305ASR.DRG.F</t>
  </si>
  <si>
    <t>305PUB.DRG.F</t>
  </si>
  <si>
    <t>305.100.P70</t>
  </si>
  <si>
    <t>305ASN.DRG.R</t>
  </si>
  <si>
    <t>305ASN.DRG.F</t>
  </si>
  <si>
    <t>305.100.P71</t>
  </si>
  <si>
    <t>305IRCCS.P.O</t>
  </si>
  <si>
    <t>305OSP.PRI.O</t>
  </si>
  <si>
    <t>305CASE.PR.O</t>
  </si>
  <si>
    <t>305PRIV.OSPE</t>
  </si>
  <si>
    <t>305PR.O.EXTR</t>
  </si>
  <si>
    <t>305.100.P72</t>
  </si>
  <si>
    <t>305PSICH.ASR</t>
  </si>
  <si>
    <t>305PSICH.PUB</t>
  </si>
  <si>
    <t>305PSICH.EXT</t>
  </si>
  <si>
    <t>305PSIC.PR.I</t>
  </si>
  <si>
    <t>305PSIC.PR.E</t>
  </si>
  <si>
    <t>305.100.P73</t>
  </si>
  <si>
    <t>305.100.P74</t>
  </si>
  <si>
    <t>305FIL.F.RIM</t>
  </si>
  <si>
    <t>305FIL.F.DIS</t>
  </si>
  <si>
    <t>305FIL.F.REG</t>
  </si>
  <si>
    <t>305FIL.F.EXT</t>
  </si>
  <si>
    <t>305.100.P75</t>
  </si>
  <si>
    <t>305DPC.PR.IN</t>
  </si>
  <si>
    <t>305PRIV.F.AL</t>
  </si>
  <si>
    <t>305F.PR.EXTR</t>
  </si>
  <si>
    <t>305F.PR.EX.C</t>
  </si>
  <si>
    <t>305.100.P82</t>
  </si>
  <si>
    <t>305TERME.ASR</t>
  </si>
  <si>
    <t>305TERME.REG</t>
  </si>
  <si>
    <t>305TERME.PUB</t>
  </si>
  <si>
    <t>305TERME.PRI</t>
  </si>
  <si>
    <t>305TERM.PR.C</t>
  </si>
  <si>
    <t>305.100.P83</t>
  </si>
  <si>
    <t>305TRASP.ASR</t>
  </si>
  <si>
    <t>305TRASP.REG</t>
  </si>
  <si>
    <t>305TRASP.PUB</t>
  </si>
  <si>
    <t>305.100.P84</t>
  </si>
  <si>
    <t>305TR.PRIMAR</t>
  </si>
  <si>
    <t>305TR.SECOND</t>
  </si>
  <si>
    <t>305ELISOCCOR</t>
  </si>
  <si>
    <t>305TR.NEFROP</t>
  </si>
  <si>
    <t>305.100.P85</t>
  </si>
  <si>
    <t>305S.SAN.ASR</t>
  </si>
  <si>
    <t>305ADI</t>
  </si>
  <si>
    <t>305ALTRO</t>
  </si>
  <si>
    <t>305.100.P86</t>
  </si>
  <si>
    <t>305S.SAN.RSA</t>
  </si>
  <si>
    <t>305S.SAN.ANZ</t>
  </si>
  <si>
    <t>305NON.AUTOS</t>
  </si>
  <si>
    <t>305S.SAN.REG</t>
  </si>
  <si>
    <t>305.100EXREG</t>
  </si>
  <si>
    <t>305S.SAN.PUB</t>
  </si>
  <si>
    <t>305.100.P87</t>
  </si>
  <si>
    <t>305ASS.INFER</t>
  </si>
  <si>
    <t>305ASSIS.ADI</t>
  </si>
  <si>
    <t>305RSA.ESTER</t>
  </si>
  <si>
    <t>305RIMB.ANZI</t>
  </si>
  <si>
    <t>305RETTE.N.A</t>
  </si>
  <si>
    <t>305ASS.TOSSI</t>
  </si>
  <si>
    <t>305CONSULTOR</t>
  </si>
  <si>
    <t>305A.PRIV.IN</t>
  </si>
  <si>
    <t>305.100.P88</t>
  </si>
  <si>
    <t>305TOSS.PRIV</t>
  </si>
  <si>
    <t>305TOS.PR.EX</t>
  </si>
  <si>
    <t>305.100.P89</t>
  </si>
  <si>
    <t>305INTRAM.OS</t>
  </si>
  <si>
    <t>305INTRAM.AM</t>
  </si>
  <si>
    <t>305INTRAM.SP</t>
  </si>
  <si>
    <t>305.100.P90</t>
  </si>
  <si>
    <t>305INTR.C.ME</t>
  </si>
  <si>
    <t>305INTR.C.SA</t>
  </si>
  <si>
    <t>305INTR.C.UN</t>
  </si>
  <si>
    <t>305INTR.ONER</t>
  </si>
  <si>
    <t>305.100.P91</t>
  </si>
  <si>
    <t>305CON.ASR.M</t>
  </si>
  <si>
    <t>305CON.ASR.S</t>
  </si>
  <si>
    <t>305CON.ASR.U</t>
  </si>
  <si>
    <t>305CON.ASR.O</t>
  </si>
  <si>
    <t>305.100.P92</t>
  </si>
  <si>
    <t>305CON.DIR.P</t>
  </si>
  <si>
    <t>305CON.DIR.T</t>
  </si>
  <si>
    <t>305CON.DIR.A</t>
  </si>
  <si>
    <t>305CON.COM.S</t>
  </si>
  <si>
    <t>305CON.COM.P</t>
  </si>
  <si>
    <t>305CON.COM.T</t>
  </si>
  <si>
    <t>305CON.COM.A</t>
  </si>
  <si>
    <t>305PERS.SUPP</t>
  </si>
  <si>
    <t>305PEREQUAZI</t>
  </si>
  <si>
    <t>305CMP.INTRA</t>
  </si>
  <si>
    <t>305ONERI.COM</t>
  </si>
  <si>
    <t>305.100.P93</t>
  </si>
  <si>
    <t>305INT.ASR.P</t>
  </si>
  <si>
    <t>305INT.ASR.T</t>
  </si>
  <si>
    <t>305INT.ASR.A</t>
  </si>
  <si>
    <t>305INT.ASR.S</t>
  </si>
  <si>
    <t>305IN.ASR.CP</t>
  </si>
  <si>
    <t>305IN.ASR.CT</t>
  </si>
  <si>
    <t>305IN.ASR.CA</t>
  </si>
  <si>
    <t>305IN.ASR.CS</t>
  </si>
  <si>
    <t>305INT.ASR.O</t>
  </si>
  <si>
    <t>305.100.P94</t>
  </si>
  <si>
    <t>305AS.VOLONT</t>
  </si>
  <si>
    <t>305CUR.ESTER</t>
  </si>
  <si>
    <t>305SOC.PARTE</t>
  </si>
  <si>
    <t>305L.210/92</t>
  </si>
  <si>
    <t>305.100.P95</t>
  </si>
  <si>
    <t>305RIM.RIC.I</t>
  </si>
  <si>
    <t>305RIM.RIC.A</t>
  </si>
  <si>
    <t>305CON.NEFRO</t>
  </si>
  <si>
    <t>305CON.DONAT</t>
  </si>
  <si>
    <t>305CON.ASSIS</t>
  </si>
  <si>
    <t>305CON.S.ASS</t>
  </si>
  <si>
    <t>305CONT.ENTI</t>
  </si>
  <si>
    <t>305RESP.CIVI</t>
  </si>
  <si>
    <t>305SOVR.DELE</t>
  </si>
  <si>
    <t>305RIM.CONTR</t>
  </si>
  <si>
    <t>305.100.P96</t>
  </si>
  <si>
    <t>305SOV.D.ASR</t>
  </si>
  <si>
    <t>305RIM.C.ASR</t>
  </si>
  <si>
    <t>305RIMB.GSA</t>
  </si>
  <si>
    <t>305.100.P97</t>
  </si>
  <si>
    <t>305CON.S.ASR</t>
  </si>
  <si>
    <t>305CON.S.PUB</t>
  </si>
  <si>
    <t>305.100.P98</t>
  </si>
  <si>
    <t>305CON.S.A55</t>
  </si>
  <si>
    <t>305.100.P99</t>
  </si>
  <si>
    <t>305PR.AG.COM</t>
  </si>
  <si>
    <t>305CON.S.PRI</t>
  </si>
  <si>
    <t>305ONE.CON.P</t>
  </si>
  <si>
    <t>305.100.P100</t>
  </si>
  <si>
    <t>305P.ES.PR.S</t>
  </si>
  <si>
    <t>305CONTR.SAN</t>
  </si>
  <si>
    <t>305CONTR.COR</t>
  </si>
  <si>
    <t>305CONTR.FIN</t>
  </si>
  <si>
    <t>305.100.P101</t>
  </si>
  <si>
    <t>305I.D.MARIA</t>
  </si>
  <si>
    <t>305O.D.MARIA</t>
  </si>
  <si>
    <t>305INTER.SAN</t>
  </si>
  <si>
    <t>305.100.P102</t>
  </si>
  <si>
    <t>305TIROC.A.S</t>
  </si>
  <si>
    <t>305BORSI.A.S</t>
  </si>
  <si>
    <t>305BORS.CORR</t>
  </si>
  <si>
    <t>305BORS.FINA</t>
  </si>
  <si>
    <t>305COM.SANIT</t>
  </si>
  <si>
    <t>305DOCENTI</t>
  </si>
  <si>
    <t>305ALLIEVI.S</t>
  </si>
  <si>
    <t>305AL.CO.SAN</t>
  </si>
  <si>
    <t>305ONER.CO.S</t>
  </si>
  <si>
    <t>305.100.P103</t>
  </si>
  <si>
    <t>305COM.AS.SA</t>
  </si>
  <si>
    <t>305COM.PB.SA</t>
  </si>
  <si>
    <t>305COM.EX.SA</t>
  </si>
  <si>
    <t>305.100.P104</t>
  </si>
  <si>
    <t>305S.SOC.ASR</t>
  </si>
  <si>
    <t>305S.SOC.REG</t>
  </si>
  <si>
    <t>305S.SOC.PUB</t>
  </si>
  <si>
    <t>305.100.P105</t>
  </si>
  <si>
    <t>305SPERIM.CL</t>
  </si>
  <si>
    <t>305SER.SA.PR</t>
  </si>
  <si>
    <t>305MOB.INTER</t>
  </si>
  <si>
    <t>305MOB.I.ASL</t>
  </si>
  <si>
    <t>305FAT.ESTER</t>
  </si>
  <si>
    <t>305DIFFE.TUC</t>
  </si>
  <si>
    <t>305.200</t>
  </si>
  <si>
    <t>305.200.P106</t>
  </si>
  <si>
    <t>305LAVANDERI</t>
  </si>
  <si>
    <t>305PULIZIA</t>
  </si>
  <si>
    <t>305MENSA</t>
  </si>
  <si>
    <t>305MENSA.DIP</t>
  </si>
  <si>
    <t>305MENSA.DEG</t>
  </si>
  <si>
    <t>305RISCALDAM</t>
  </si>
  <si>
    <t>305.200.P107</t>
  </si>
  <si>
    <t>305SISR</t>
  </si>
  <si>
    <t>305EL.RICETT</t>
  </si>
  <si>
    <t>305ASS.INFOR</t>
  </si>
  <si>
    <t>305TRASP.N.S</t>
  </si>
  <si>
    <t>305SM.RIFIUT</t>
  </si>
  <si>
    <t>305.200.P108</t>
  </si>
  <si>
    <t>305SP.TELEFO</t>
  </si>
  <si>
    <t>305INTERNET</t>
  </si>
  <si>
    <t>305ELETTRICI</t>
  </si>
  <si>
    <t>305.200.P109</t>
  </si>
  <si>
    <t>305ACQUA</t>
  </si>
  <si>
    <t>305GAS</t>
  </si>
  <si>
    <t>305CANONI.TV</t>
  </si>
  <si>
    <t>305BANCA.DAT</t>
  </si>
  <si>
    <t>305UTENZE.AL</t>
  </si>
  <si>
    <t>305.200.P110</t>
  </si>
  <si>
    <t>305RC.PROFES</t>
  </si>
  <si>
    <t>305A.PR.ASSI</t>
  </si>
  <si>
    <t>305.200.P111</t>
  </si>
  <si>
    <t>305A.ASR.N.S</t>
  </si>
  <si>
    <t>305.200.P112</t>
  </si>
  <si>
    <t>305A.PUB.N.S</t>
  </si>
  <si>
    <t>305SOC.ASS.P</t>
  </si>
  <si>
    <t>305.200.P113</t>
  </si>
  <si>
    <t>305VIGILANZA</t>
  </si>
  <si>
    <t>305RELIGIOSI</t>
  </si>
  <si>
    <t>305BANCARIE</t>
  </si>
  <si>
    <t>305INCASSO</t>
  </si>
  <si>
    <t>305RAPPRESEN</t>
  </si>
  <si>
    <t>305PUBBLICIT</t>
  </si>
  <si>
    <t>305AL.LEGALI</t>
  </si>
  <si>
    <t>305SP.POSTAL</t>
  </si>
  <si>
    <t>305AL.AMMINI</t>
  </si>
  <si>
    <t>305RIMB.PERS</t>
  </si>
  <si>
    <t>305AL.RIMBOR</t>
  </si>
  <si>
    <t>305SOC.AS.PR</t>
  </si>
  <si>
    <t>305AL.N.S.PR</t>
  </si>
  <si>
    <t>305.200.P114</t>
  </si>
  <si>
    <t>305CON.NS.AZ</t>
  </si>
  <si>
    <t>305CON.N.S.P</t>
  </si>
  <si>
    <t>305.200.P115</t>
  </si>
  <si>
    <t>305.200.P116</t>
  </si>
  <si>
    <t>305C.FISCALI</t>
  </si>
  <si>
    <t>305C.AMMINIS</t>
  </si>
  <si>
    <t>305C.TECNICA</t>
  </si>
  <si>
    <t>305.C.LEGALI</t>
  </si>
  <si>
    <t>305C.ALT.N.S</t>
  </si>
  <si>
    <t>305COCOC.N.S</t>
  </si>
  <si>
    <t>305I.PERS.UN</t>
  </si>
  <si>
    <t>305INTER.N.S</t>
  </si>
  <si>
    <t>305.200.P117</t>
  </si>
  <si>
    <t>305TIROC.N.S</t>
  </si>
  <si>
    <t>305ESTER.N.S</t>
  </si>
  <si>
    <t>305BORSE.N.S</t>
  </si>
  <si>
    <t>305COMM.N.S.</t>
  </si>
  <si>
    <t>305ALTRE.N.S</t>
  </si>
  <si>
    <t>305ALTRE.112</t>
  </si>
  <si>
    <t>305.200.P118</t>
  </si>
  <si>
    <t>305COM.AS.NS</t>
  </si>
  <si>
    <t>305COM.PB.NS</t>
  </si>
  <si>
    <t>305COM.EX.NS</t>
  </si>
  <si>
    <t>305.200.P119</t>
  </si>
  <si>
    <t>305FORM.PUBB</t>
  </si>
  <si>
    <t>305FORM.PRIV</t>
  </si>
  <si>
    <t>310FABBRICAT</t>
  </si>
  <si>
    <t>310.200</t>
  </si>
  <si>
    <t>310IMP.TELEF</t>
  </si>
  <si>
    <t>310IMPANTIST</t>
  </si>
  <si>
    <t>310A.IMPIANT</t>
  </si>
  <si>
    <t>310ATT.SCIEN</t>
  </si>
  <si>
    <t>310MOBILI.AR</t>
  </si>
  <si>
    <t>310AUTOMEZZI</t>
  </si>
  <si>
    <t>310.600</t>
  </si>
  <si>
    <t>310ATTR.INFO</t>
  </si>
  <si>
    <t>310SOFTWARE.</t>
  </si>
  <si>
    <t>310A.MANUTEN</t>
  </si>
  <si>
    <t>310MANUT.ASR</t>
  </si>
  <si>
    <t>315.100</t>
  </si>
  <si>
    <t>315LOC.PASS.</t>
  </si>
  <si>
    <t>315SP.CONDOM</t>
  </si>
  <si>
    <t>315.200</t>
  </si>
  <si>
    <t>315NOL.SANIT</t>
  </si>
  <si>
    <t>315.200.P120</t>
  </si>
  <si>
    <t>315H&amp;SOFTWAR</t>
  </si>
  <si>
    <t>315FOTOCOPIA</t>
  </si>
  <si>
    <t>315AUTOMEZZI</t>
  </si>
  <si>
    <t>315NOLEG.ALT</t>
  </si>
  <si>
    <t>315.300</t>
  </si>
  <si>
    <t>315.300.P121</t>
  </si>
  <si>
    <t>315LEAS.S.OP</t>
  </si>
  <si>
    <t>315LEAS.S.FI</t>
  </si>
  <si>
    <t>315.300.P122</t>
  </si>
  <si>
    <t>315LEAS.N.OP</t>
  </si>
  <si>
    <t>315LEAS.N.FI</t>
  </si>
  <si>
    <t>315PROJECT.F</t>
  </si>
  <si>
    <t>315NOLEG.ASR</t>
  </si>
  <si>
    <t>320.100</t>
  </si>
  <si>
    <t>320.100.P123</t>
  </si>
  <si>
    <t>320.100.P124</t>
  </si>
  <si>
    <t>320MED.I.FIS</t>
  </si>
  <si>
    <t>320MED.I.POS</t>
  </si>
  <si>
    <t>320.100.P125</t>
  </si>
  <si>
    <t>320MED.I.RIS</t>
  </si>
  <si>
    <t>320.100.P126</t>
  </si>
  <si>
    <t>320MED.I.CLA</t>
  </si>
  <si>
    <t>320.100.P127</t>
  </si>
  <si>
    <t>320M.IND.TFR</t>
  </si>
  <si>
    <t>320M.INDFIP1</t>
  </si>
  <si>
    <t>320MED.I.ALT</t>
  </si>
  <si>
    <t>320.100.P128</t>
  </si>
  <si>
    <t>320MED.I.ONE</t>
  </si>
  <si>
    <t>320.100.P129</t>
  </si>
  <si>
    <t>320MED.D.FIS</t>
  </si>
  <si>
    <t>320MED.D.POS</t>
  </si>
  <si>
    <t>320.100.P130</t>
  </si>
  <si>
    <t>320MED.D.RIS</t>
  </si>
  <si>
    <t>320.100.P131</t>
  </si>
  <si>
    <t>320MED.D.CLA</t>
  </si>
  <si>
    <t>320.100.P132</t>
  </si>
  <si>
    <t>320M.DET.TFR</t>
  </si>
  <si>
    <t>320M.INDFIP2</t>
  </si>
  <si>
    <t>320MED.D.ALT</t>
  </si>
  <si>
    <t>320.100.P133</t>
  </si>
  <si>
    <t>320MED.D.ONE</t>
  </si>
  <si>
    <t>320MED.ALTRO</t>
  </si>
  <si>
    <t>320.100.P134</t>
  </si>
  <si>
    <t>320.100.P135</t>
  </si>
  <si>
    <t>320D.S.I.FIS</t>
  </si>
  <si>
    <t>320D.S.I.POS</t>
  </si>
  <si>
    <t>320D.S.I.RIS</t>
  </si>
  <si>
    <t>320D.S.I.CLA</t>
  </si>
  <si>
    <t>320.100.P136</t>
  </si>
  <si>
    <t>320D.S.I.TFR</t>
  </si>
  <si>
    <t>320D.S.F.I.P</t>
  </si>
  <si>
    <t>320D.S.I.ALT</t>
  </si>
  <si>
    <t>320D.S.I.ONE</t>
  </si>
  <si>
    <t>320.100.P137</t>
  </si>
  <si>
    <t>320D.S.D.FIS</t>
  </si>
  <si>
    <t>320D.S.D.POS</t>
  </si>
  <si>
    <t>320D.S.D.RIS</t>
  </si>
  <si>
    <t>320D.S.D.CLA</t>
  </si>
  <si>
    <t>320.100.P138</t>
  </si>
  <si>
    <t>320D.S.D.TFR</t>
  </si>
  <si>
    <t>320D.S.D.F.I</t>
  </si>
  <si>
    <t>320D.S.D.ALT</t>
  </si>
  <si>
    <t>320D.S.D.ONE</t>
  </si>
  <si>
    <t>320D.S.ALTRO</t>
  </si>
  <si>
    <t>320.200</t>
  </si>
  <si>
    <t>320.200.P139</t>
  </si>
  <si>
    <t>320C.S.I.FIS</t>
  </si>
  <si>
    <t>320C.S.I.STR</t>
  </si>
  <si>
    <t>320C.S.I.IND</t>
  </si>
  <si>
    <t>320C.S.I.PRO</t>
  </si>
  <si>
    <t>320C.S.I.CLA</t>
  </si>
  <si>
    <t>320.200.P140</t>
  </si>
  <si>
    <t>320C.S.I.TFR</t>
  </si>
  <si>
    <t>320C.S.I.PEN</t>
  </si>
  <si>
    <t>320C.S.I.ALT</t>
  </si>
  <si>
    <t>320C.S.I.ONE</t>
  </si>
  <si>
    <t>320.200.P141</t>
  </si>
  <si>
    <t>320C.S.D.FIS</t>
  </si>
  <si>
    <t>320C.S.D.STR</t>
  </si>
  <si>
    <t>320C.S.D.IND</t>
  </si>
  <si>
    <t>320C.S.D.PRO</t>
  </si>
  <si>
    <t>320C.S.D.CLA</t>
  </si>
  <si>
    <t>320.200.P142</t>
  </si>
  <si>
    <t>320C.S.D.TFR</t>
  </si>
  <si>
    <t>320C.S.D.PEN</t>
  </si>
  <si>
    <t>320C.S.D.ALT</t>
  </si>
  <si>
    <t>320C.S.D.ONE</t>
  </si>
  <si>
    <t>320C.S.ALTRO</t>
  </si>
  <si>
    <t>325.100</t>
  </si>
  <si>
    <t>325.100.P143</t>
  </si>
  <si>
    <t>325D.P.I.FIS</t>
  </si>
  <si>
    <t>325D.P.I.POS</t>
  </si>
  <si>
    <t>325D.P.I.RIS</t>
  </si>
  <si>
    <t>325D.P.I.ACC</t>
  </si>
  <si>
    <t>325.100.P144</t>
  </si>
  <si>
    <t>325D.P.I.TFR</t>
  </si>
  <si>
    <t>325D.P.I.FIP</t>
  </si>
  <si>
    <t>325D.P.I.ALT</t>
  </si>
  <si>
    <t>325D.P.I.ONE</t>
  </si>
  <si>
    <t>325.100.P145</t>
  </si>
  <si>
    <t>325D.P.D.FIS</t>
  </si>
  <si>
    <t>325D.P.D.POS</t>
  </si>
  <si>
    <t>325D.P.D.RIS</t>
  </si>
  <si>
    <t>325D.P.D.ACC</t>
  </si>
  <si>
    <t>325.100.P146</t>
  </si>
  <si>
    <t>325D.P.D.TFR</t>
  </si>
  <si>
    <t>325D.P.D.FIP</t>
  </si>
  <si>
    <t>325D.P.DALT1</t>
  </si>
  <si>
    <t>325D.P.D.ONE</t>
  </si>
  <si>
    <t>325D.P.DALT2</t>
  </si>
  <si>
    <t>325.200</t>
  </si>
  <si>
    <t>325.200.P147</t>
  </si>
  <si>
    <t>325C.P.I.FIS</t>
  </si>
  <si>
    <t>325C.P.I.STR</t>
  </si>
  <si>
    <t>325C.P.I.IND</t>
  </si>
  <si>
    <t>325C.P.I.PRO</t>
  </si>
  <si>
    <t>325C.P.I.CLA</t>
  </si>
  <si>
    <t>325.200.P148</t>
  </si>
  <si>
    <t>325C.P.I.TFR</t>
  </si>
  <si>
    <t>325C.P.I.PEN</t>
  </si>
  <si>
    <t>325C.P.I.ALT</t>
  </si>
  <si>
    <t>325C.P.I.ONE</t>
  </si>
  <si>
    <t>325.200.P149</t>
  </si>
  <si>
    <t>325C.P.D.FIS</t>
  </si>
  <si>
    <t>325C.P.D.STR</t>
  </si>
  <si>
    <t>325C.P.D.IND</t>
  </si>
  <si>
    <t>325C.P.D.PRO</t>
  </si>
  <si>
    <t>325C.P.D.CLA</t>
  </si>
  <si>
    <t>325.200.P150</t>
  </si>
  <si>
    <t>325C.P.D.TFR</t>
  </si>
  <si>
    <t>325C.P.D.PEN</t>
  </si>
  <si>
    <t>325C.P.D.ALT</t>
  </si>
  <si>
    <t>325C.P.D.ONE</t>
  </si>
  <si>
    <t>325C.P.ALTRO</t>
  </si>
  <si>
    <t>330.100</t>
  </si>
  <si>
    <t>330.100.P151</t>
  </si>
  <si>
    <t>330D.T.I.FIS</t>
  </si>
  <si>
    <t>330D.T.I.POS</t>
  </si>
  <si>
    <t>330D.T.I.RIS</t>
  </si>
  <si>
    <t>330D.T.I.ACC</t>
  </si>
  <si>
    <t>330.100.P152</t>
  </si>
  <si>
    <t>330D.T.I.TFR</t>
  </si>
  <si>
    <t>330D.T.I.FIP</t>
  </si>
  <si>
    <t>330D.T.I.ALT</t>
  </si>
  <si>
    <t>330D.T.I.ONE</t>
  </si>
  <si>
    <t>330.100.P153</t>
  </si>
  <si>
    <t>330D.T.D.FIS</t>
  </si>
  <si>
    <t>330D.T.D.POS</t>
  </si>
  <si>
    <t>330D.T.D.RIS</t>
  </si>
  <si>
    <t>330D.T.D.ACC</t>
  </si>
  <si>
    <t>330.100.P154</t>
  </si>
  <si>
    <t>330D.T.D.TFR</t>
  </si>
  <si>
    <t>330D.T.D.FIP</t>
  </si>
  <si>
    <t>330D.T.DALT1</t>
  </si>
  <si>
    <t>330D.T.D.ONE</t>
  </si>
  <si>
    <t>330D.T.DALT2</t>
  </si>
  <si>
    <t>330.200</t>
  </si>
  <si>
    <t>330.200.P155</t>
  </si>
  <si>
    <t>330C.T.I.FIS</t>
  </si>
  <si>
    <t>330C.T.I.STR</t>
  </si>
  <si>
    <t>330C.T.I.IND</t>
  </si>
  <si>
    <t>330C.T.I.PRO</t>
  </si>
  <si>
    <t>330C.T.I.CLA</t>
  </si>
  <si>
    <t>330.200.P156</t>
  </si>
  <si>
    <t>330C.T.I.TFR</t>
  </si>
  <si>
    <t>330C.T.I.PEN</t>
  </si>
  <si>
    <t>330C.T.I.ALT</t>
  </si>
  <si>
    <t>330C.T.I.ONE</t>
  </si>
  <si>
    <t>330.200.P157</t>
  </si>
  <si>
    <t>330C.T.D.FIS</t>
  </si>
  <si>
    <t>330C.T.D.STR</t>
  </si>
  <si>
    <t>330C.T.D.IND</t>
  </si>
  <si>
    <t>330C.T.D.PRO</t>
  </si>
  <si>
    <t>330C.T.D.CLA</t>
  </si>
  <si>
    <t>330.200.P158</t>
  </si>
  <si>
    <t>330C.T.D.TFR</t>
  </si>
  <si>
    <t>330C.T.D.PEN</t>
  </si>
  <si>
    <t>330C.T.D.ALT</t>
  </si>
  <si>
    <t>330C.T.D.ONE</t>
  </si>
  <si>
    <t>330C.T.ALTRO</t>
  </si>
  <si>
    <t>335.100</t>
  </si>
  <si>
    <t>335.100.P159</t>
  </si>
  <si>
    <t>335D.A.I.FIS</t>
  </si>
  <si>
    <t>335D.A.I.POS</t>
  </si>
  <si>
    <t>335D.A.I.RIS</t>
  </si>
  <si>
    <t>335D.A.I.ACC</t>
  </si>
  <si>
    <t>335.100.P160</t>
  </si>
  <si>
    <t>335D.A.I.TFR</t>
  </si>
  <si>
    <t>335D.A.I.FIP</t>
  </si>
  <si>
    <t>335D.A.I.ALT</t>
  </si>
  <si>
    <t>335D.A.I.ONE</t>
  </si>
  <si>
    <t>335.100.P161</t>
  </si>
  <si>
    <t>335D.A.D.FIS</t>
  </si>
  <si>
    <t>335D.A.D.POS</t>
  </si>
  <si>
    <t>335D.A.D.RIS</t>
  </si>
  <si>
    <t>335D.A.D.ACC</t>
  </si>
  <si>
    <t>335.100.P162</t>
  </si>
  <si>
    <t>335D.A.D.TFR</t>
  </si>
  <si>
    <t>335D.A.D.FIP</t>
  </si>
  <si>
    <t>335D.A.DALT1</t>
  </si>
  <si>
    <t>335D.A.D.ONE</t>
  </si>
  <si>
    <t>335D.A.DALT2</t>
  </si>
  <si>
    <t>335.200</t>
  </si>
  <si>
    <t>335.200.P163</t>
  </si>
  <si>
    <t>335C.A.I.FIS</t>
  </si>
  <si>
    <t>335C.A.I.STR</t>
  </si>
  <si>
    <t>335C.A.I.IND</t>
  </si>
  <si>
    <t>335C.A.I.PRO</t>
  </si>
  <si>
    <t>335C.A.I.CLA</t>
  </si>
  <si>
    <t>335.200.P164</t>
  </si>
  <si>
    <t>335C.A.I.TFR</t>
  </si>
  <si>
    <t>335C.A.I.PEN</t>
  </si>
  <si>
    <t>335C.A.I.ALT</t>
  </si>
  <si>
    <t>335C.A.I.ONE</t>
  </si>
  <si>
    <t>335.200.P165</t>
  </si>
  <si>
    <t>335C.A.D.FIS</t>
  </si>
  <si>
    <t>335C.A.D.STR</t>
  </si>
  <si>
    <t>335C.A.D.IND</t>
  </si>
  <si>
    <t>335C.A.D.PRO</t>
  </si>
  <si>
    <t>335C.A.D.CLA</t>
  </si>
  <si>
    <t>335.200.P166</t>
  </si>
  <si>
    <t>335C.A.D.TFR</t>
  </si>
  <si>
    <t>335C.A.D.PEN</t>
  </si>
  <si>
    <t>335C.A.D.ALT</t>
  </si>
  <si>
    <t>335C.A.D.ONE</t>
  </si>
  <si>
    <t>335C.A.ALTRO</t>
  </si>
  <si>
    <t>340.100</t>
  </si>
  <si>
    <t>340IMP.REGIS</t>
  </si>
  <si>
    <t>340IMP.BOLLO</t>
  </si>
  <si>
    <t>340CONC.GOVE</t>
  </si>
  <si>
    <t>340IMP.COMUN</t>
  </si>
  <si>
    <t>340CIRC.AUTO</t>
  </si>
  <si>
    <t>340PERM.TRAN</t>
  </si>
  <si>
    <t>340IMPOSTE.D</t>
  </si>
  <si>
    <t>340PER.CREDI</t>
  </si>
  <si>
    <t>340.300</t>
  </si>
  <si>
    <t>340.300.P167</t>
  </si>
  <si>
    <t>340.300.P168</t>
  </si>
  <si>
    <t>340ORG.FISSE</t>
  </si>
  <si>
    <t>340ORG.ONERI</t>
  </si>
  <si>
    <t>340ORG.ALTRO</t>
  </si>
  <si>
    <t>340.300.P169</t>
  </si>
  <si>
    <t>340SIN.FISSE</t>
  </si>
  <si>
    <t>340SIN.ONERI</t>
  </si>
  <si>
    <t>340SIN.ALTRO</t>
  </si>
  <si>
    <t>340.300.P170</t>
  </si>
  <si>
    <t>340ALT.FISSE</t>
  </si>
  <si>
    <t>340ALT.ONERI</t>
  </si>
  <si>
    <t>340ALT.ALTRO</t>
  </si>
  <si>
    <t>340.300.P171</t>
  </si>
  <si>
    <t>340ASS.PERS</t>
  </si>
  <si>
    <t>340ONERI.ASR</t>
  </si>
  <si>
    <t>340AUTOASSIC</t>
  </si>
  <si>
    <t>345A.C.IMPIA</t>
  </si>
  <si>
    <t>345A.RICERCA</t>
  </si>
  <si>
    <t>345A.BREV.RI</t>
  </si>
  <si>
    <t>345A.BREV.AL</t>
  </si>
  <si>
    <t>345A.CONCESS</t>
  </si>
  <si>
    <t>345A.MIGLIOR</t>
  </si>
  <si>
    <t>345A.PUBBLIC</t>
  </si>
  <si>
    <t>345A.ALT.IMM</t>
  </si>
  <si>
    <t>350.100</t>
  </si>
  <si>
    <t>350A.FAB.DIS</t>
  </si>
  <si>
    <t>350A.FAB.IND</t>
  </si>
  <si>
    <t>350.200</t>
  </si>
  <si>
    <t>350A.IMPIANT</t>
  </si>
  <si>
    <t>350A.ATTR.SA</t>
  </si>
  <si>
    <t>350A.MOBIL.A</t>
  </si>
  <si>
    <t>350A.AUTOMEZ</t>
  </si>
  <si>
    <t>350A.A.IMM.M</t>
  </si>
  <si>
    <t>355.100</t>
  </si>
  <si>
    <t>355.100.P172</t>
  </si>
  <si>
    <t>355S.C.IMPIA</t>
  </si>
  <si>
    <t>355S.RICERCA</t>
  </si>
  <si>
    <t>355S.BREV.RI</t>
  </si>
  <si>
    <t>355S.ALT.IMM</t>
  </si>
  <si>
    <t>355.100.P173</t>
  </si>
  <si>
    <t>355S.TER.DIS</t>
  </si>
  <si>
    <t>355S.TER.IND</t>
  </si>
  <si>
    <t>355S.FAB.DIS</t>
  </si>
  <si>
    <t>355S.FAB.IND</t>
  </si>
  <si>
    <t>355S.IMPIANT</t>
  </si>
  <si>
    <t>355S.ATTR.SA</t>
  </si>
  <si>
    <t>355S.MOBIL.A</t>
  </si>
  <si>
    <t>355S.AUTOMEZ</t>
  </si>
  <si>
    <t>355S.O.DARTE</t>
  </si>
  <si>
    <t>355S.A.IMM.M</t>
  </si>
  <si>
    <t>355.200</t>
  </si>
  <si>
    <t>355SVAL.CR01</t>
  </si>
  <si>
    <t>355SVAL.CR02</t>
  </si>
  <si>
    <t>355SVAL.CR03</t>
  </si>
  <si>
    <t>355SVAL.CR04</t>
  </si>
  <si>
    <t>355SVAL.CR05</t>
  </si>
  <si>
    <t>355SVAL.CR06</t>
  </si>
  <si>
    <t>355SVAL.CR07</t>
  </si>
  <si>
    <t>355SVAL.CR08</t>
  </si>
  <si>
    <t>355SVAL.CR09</t>
  </si>
  <si>
    <t>355SVAL.CR10</t>
  </si>
  <si>
    <t>355SVAL.CR11</t>
  </si>
  <si>
    <t>355SVAL.CR12</t>
  </si>
  <si>
    <t>355SVAL.CR13</t>
  </si>
  <si>
    <t>355SVAL.CR14</t>
  </si>
  <si>
    <t>355SVAL.CR15</t>
  </si>
  <si>
    <t>355SVAL.CR16</t>
  </si>
  <si>
    <t>355SVAL.CR17</t>
  </si>
  <si>
    <t>355SVAL.CR18</t>
  </si>
  <si>
    <t>355SVAL.CR19</t>
  </si>
  <si>
    <t>355SVAL.CR20</t>
  </si>
  <si>
    <t>355SVAL.CR21</t>
  </si>
  <si>
    <t>355SVAL.CR22</t>
  </si>
  <si>
    <t>355SVAL.CR23</t>
  </si>
  <si>
    <t>355SVAL.CR24</t>
  </si>
  <si>
    <t>355SVAL.CR25</t>
  </si>
  <si>
    <t>355SVAL.CR26</t>
  </si>
  <si>
    <t>355SVAL.CR27</t>
  </si>
  <si>
    <t>355SVAL.CR28</t>
  </si>
  <si>
    <t>355SVAL.CR29</t>
  </si>
  <si>
    <t>355SVAL.CR30</t>
  </si>
  <si>
    <t>355SVAL.CR31</t>
  </si>
  <si>
    <t>355SVAL.CR32</t>
  </si>
  <si>
    <t>355SVAL.CR33</t>
  </si>
  <si>
    <t>355SVAL.CR38</t>
  </si>
  <si>
    <t>355SVAL.CR39</t>
  </si>
  <si>
    <t>355SVAL.CR40</t>
  </si>
  <si>
    <t>355SVAL.CR41</t>
  </si>
  <si>
    <t>355SVAL.CR42</t>
  </si>
  <si>
    <t>355SVAL.CR43</t>
  </si>
  <si>
    <t>355SVAL.CR44</t>
  </si>
  <si>
    <t>355SVAL.CR45</t>
  </si>
  <si>
    <t>355SVAL.CR46</t>
  </si>
  <si>
    <t>355SVAL.CR47</t>
  </si>
  <si>
    <t>360.RIM.SANI</t>
  </si>
  <si>
    <t>360RIM.FARMA</t>
  </si>
  <si>
    <t>360RIM.EMO</t>
  </si>
  <si>
    <t>360RIM.MED</t>
  </si>
  <si>
    <t>360RIM.DIET</t>
  </si>
  <si>
    <t>360RIM.VACC</t>
  </si>
  <si>
    <t>360RIM.CHIMI</t>
  </si>
  <si>
    <t>360RIM.VET</t>
  </si>
  <si>
    <t>360RIM.AL.SA</t>
  </si>
  <si>
    <t>360RIM.N.SAN</t>
  </si>
  <si>
    <t>360RIM.ALIM</t>
  </si>
  <si>
    <t>360RIM.PULIZ</t>
  </si>
  <si>
    <t>360RIM.CARBU</t>
  </si>
  <si>
    <t>360RIM.INFO</t>
  </si>
  <si>
    <t>360RIM.MANUT</t>
  </si>
  <si>
    <t>360RIM.AL.NS</t>
  </si>
  <si>
    <t>365.100</t>
  </si>
  <si>
    <t>365CAUSE.CIV</t>
  </si>
  <si>
    <t>365CONT.PERS</t>
  </si>
  <si>
    <t>365PREST.SAN</t>
  </si>
  <si>
    <t>365AUTOASSIC</t>
  </si>
  <si>
    <t>365.100.P174</t>
  </si>
  <si>
    <t>365EQUO.INDE</t>
  </si>
  <si>
    <t>365ACCORDI.B</t>
  </si>
  <si>
    <t>365ALT.RISCH</t>
  </si>
  <si>
    <t>365.MORA</t>
  </si>
  <si>
    <t>365.200</t>
  </si>
  <si>
    <t>365SUMAI.AMB</t>
  </si>
  <si>
    <t>365SUMAI.ALT</t>
  </si>
  <si>
    <t>365.300</t>
  </si>
  <si>
    <t>365Q.REG.I.F</t>
  </si>
  <si>
    <t>365Q.REG.FSR</t>
  </si>
  <si>
    <t>365Q.PUB.VIN</t>
  </si>
  <si>
    <t>365Q.PUB.RIC</t>
  </si>
  <si>
    <t>365.300.P175</t>
  </si>
  <si>
    <t>365Q.PR.SPER</t>
  </si>
  <si>
    <t>365Q.PR.ALTR</t>
  </si>
  <si>
    <t>365Q.PR.RIC</t>
  </si>
  <si>
    <t>365.400</t>
  </si>
  <si>
    <t>365RINNO.ANC</t>
  </si>
  <si>
    <t>365RIN.SUMAI</t>
  </si>
  <si>
    <t>365RIN.MEDIC</t>
  </si>
  <si>
    <t>365RINN.SPTA</t>
  </si>
  <si>
    <t>365RIN.COMPA</t>
  </si>
  <si>
    <t>365.TFR.DIP</t>
  </si>
  <si>
    <t>365.QUIESCEN</t>
  </si>
  <si>
    <t>365.INTEGRAT</t>
  </si>
  <si>
    <t>365.F.TECNIC</t>
  </si>
  <si>
    <t>365.400.P176</t>
  </si>
  <si>
    <t>370INT.ANTIC</t>
  </si>
  <si>
    <t>370INT.MUTUI</t>
  </si>
  <si>
    <t>370.300</t>
  </si>
  <si>
    <t>370INT.MORAT</t>
  </si>
  <si>
    <t>370ALTRI.INT</t>
  </si>
  <si>
    <t>375ONERI.FIN</t>
  </si>
  <si>
    <t>375PERD.CAMB</t>
  </si>
  <si>
    <t>380SVALUTAZI</t>
  </si>
  <si>
    <t>390MINUSVALE</t>
  </si>
  <si>
    <t>390.200</t>
  </si>
  <si>
    <t>390TRIB.E.P.</t>
  </si>
  <si>
    <t>390CAUSE.CIV</t>
  </si>
  <si>
    <t>390.200.P177</t>
  </si>
  <si>
    <t>390.200.P178</t>
  </si>
  <si>
    <t>390SOP.ASR.M</t>
  </si>
  <si>
    <t>390SOP.ASR.A</t>
  </si>
  <si>
    <t>390.200.P179</t>
  </si>
  <si>
    <t>390SOP.EXTRA</t>
  </si>
  <si>
    <t>390.200.P180</t>
  </si>
  <si>
    <t>390SOP.DIR.M</t>
  </si>
  <si>
    <t>390SOP.DIR.N</t>
  </si>
  <si>
    <t>390SOPRA.COM</t>
  </si>
  <si>
    <t>390SOPRA.MMG</t>
  </si>
  <si>
    <t>390SOP.SUMAI</t>
  </si>
  <si>
    <t>390SOP.ACCRE</t>
  </si>
  <si>
    <t>390SOPRA.B&amp;S</t>
  </si>
  <si>
    <t>390SOPR.ALTR</t>
  </si>
  <si>
    <t>390.200.P181</t>
  </si>
  <si>
    <t>390Q.FS.VINC</t>
  </si>
  <si>
    <t>390INS.AZSSR</t>
  </si>
  <si>
    <t>390.200.P182</t>
  </si>
  <si>
    <t>390INS.EXTRA</t>
  </si>
  <si>
    <t>390INS.PERSO</t>
  </si>
  <si>
    <t>390INSSU.MMG</t>
  </si>
  <si>
    <t>390INS.SUMAI</t>
  </si>
  <si>
    <t>390INS.ACCRE</t>
  </si>
  <si>
    <t>390INSRA.B&amp;S</t>
  </si>
  <si>
    <t>390INSR.ALTR</t>
  </si>
  <si>
    <t>390A.STRAORD</t>
  </si>
  <si>
    <t>400IRAP.DIPE</t>
  </si>
  <si>
    <t>400IRAP.ASSI</t>
  </si>
  <si>
    <t>400IRAP.L.P.</t>
  </si>
  <si>
    <t>400IRAP.COMM</t>
  </si>
  <si>
    <t>405IRES.ISTI</t>
  </si>
  <si>
    <t>405IRES.COMM</t>
  </si>
  <si>
    <t>410ACC.IMPOS</t>
  </si>
  <si>
    <t>ENTE SSN</t>
  </si>
  <si>
    <t xml:space="preserve">SI </t>
  </si>
  <si>
    <t>600.100</t>
  </si>
  <si>
    <t>600.100.P183</t>
  </si>
  <si>
    <t>600CAPITARIA</t>
  </si>
  <si>
    <t>600COMPLESSI</t>
  </si>
  <si>
    <t>600FUNZIONI</t>
  </si>
  <si>
    <t>600FUNZ.PS</t>
  </si>
  <si>
    <t>600FUNZ.ALTR</t>
  </si>
  <si>
    <t>600Q.PIANOAZ</t>
  </si>
  <si>
    <t>600.100.P184</t>
  </si>
  <si>
    <t>600ALTR.VINC</t>
  </si>
  <si>
    <t>600.200</t>
  </si>
  <si>
    <t>600.200.P185</t>
  </si>
  <si>
    <t>600.200.P186</t>
  </si>
  <si>
    <t>600NON.AUTOS</t>
  </si>
  <si>
    <t>600R.SOCIALE</t>
  </si>
  <si>
    <t>600R.VINC.EU</t>
  </si>
  <si>
    <t>600R.PROG.MI</t>
  </si>
  <si>
    <t>600R.VINC.SA</t>
  </si>
  <si>
    <t>600R.VINC.SC</t>
  </si>
  <si>
    <t>600R.R.A.LEA</t>
  </si>
  <si>
    <t>Contributi da Regione o Prov. Aut. (extra fondo) - Risorse aggiuntive da bilancio regionale a titolo di copertura LEA</t>
  </si>
  <si>
    <t>600R.R.EXLEA</t>
  </si>
  <si>
    <t>Contributi da Regione o Prov. Aut. (extra fondo) - Risorse aggiuntive da bilancio regionale a titolo di copertura extra LEA</t>
  </si>
  <si>
    <t>600.R.EXFOND</t>
  </si>
  <si>
    <t>600.200.P187</t>
  </si>
  <si>
    <t>600ASR.VINCO</t>
  </si>
  <si>
    <t>600ASR.ALTRO</t>
  </si>
  <si>
    <t>600.200.P188</t>
  </si>
  <si>
    <t>600MIN.EX.F</t>
  </si>
  <si>
    <t>600.200.P189</t>
  </si>
  <si>
    <t>600UNIVERSIT</t>
  </si>
  <si>
    <t>600COMUNI.AS</t>
  </si>
  <si>
    <t>600COMUN.SSC</t>
  </si>
  <si>
    <t>600PROVINCIA</t>
  </si>
  <si>
    <t>600A.VINCO.S</t>
  </si>
  <si>
    <t>600A.VINCO.C</t>
  </si>
  <si>
    <t>600A.P210.92</t>
  </si>
  <si>
    <t>600A.PUBBLIC</t>
  </si>
  <si>
    <t>600A.112</t>
  </si>
  <si>
    <t>600.300</t>
  </si>
  <si>
    <t>600SALUT.COR</t>
  </si>
  <si>
    <t>600SALUT.FIN</t>
  </si>
  <si>
    <t>600.300.P190</t>
  </si>
  <si>
    <t>600R.RICERCA</t>
  </si>
  <si>
    <t>600A.RICERCA</t>
  </si>
  <si>
    <t>600P.RICERCA</t>
  </si>
  <si>
    <t>600C.ES.PRIV</t>
  </si>
  <si>
    <t>610REGIO.FSR</t>
  </si>
  <si>
    <t>610REG.ALTRI</t>
  </si>
  <si>
    <t>620R.FSR.I.F</t>
  </si>
  <si>
    <t>620R.FSR.VIN</t>
  </si>
  <si>
    <t>620S.PUBBLIC</t>
  </si>
  <si>
    <t>620C.RICERCA</t>
  </si>
  <si>
    <t>620C.PRIVATI</t>
  </si>
  <si>
    <t>630.100</t>
  </si>
  <si>
    <t>630.100.P191</t>
  </si>
  <si>
    <t>630.100.P192</t>
  </si>
  <si>
    <t>630R.RIC.DRG</t>
  </si>
  <si>
    <t>630R.RIC.FAT</t>
  </si>
  <si>
    <t>630.100.P193</t>
  </si>
  <si>
    <t>630R.AMBUL.C</t>
  </si>
  <si>
    <t>630R.AMBUL.F</t>
  </si>
  <si>
    <t>630.PS.NO.R</t>
  </si>
  <si>
    <t>630R.PSICHIA</t>
  </si>
  <si>
    <t>630.R.FILE.F</t>
  </si>
  <si>
    <t>630R.MMG.PLS</t>
  </si>
  <si>
    <t>630R.FARMACE</t>
  </si>
  <si>
    <t>630R.TERMALI</t>
  </si>
  <si>
    <t>630R.AMBULAN</t>
  </si>
  <si>
    <t>630R.ASS.INT</t>
  </si>
  <si>
    <t>630R.ASS.PRO</t>
  </si>
  <si>
    <t>630R.ASS.RIA</t>
  </si>
  <si>
    <t>630R.EMO</t>
  </si>
  <si>
    <t>630R.ADI</t>
  </si>
  <si>
    <t>630.100.P194</t>
  </si>
  <si>
    <t>630R.CONS.SA</t>
  </si>
  <si>
    <t>630R.A.PREST</t>
  </si>
  <si>
    <t>630R.PRE.S.S</t>
  </si>
  <si>
    <t>630.100.P195</t>
  </si>
  <si>
    <t>630.100.P196</t>
  </si>
  <si>
    <t>630ASN.DRG.C</t>
  </si>
  <si>
    <t>630ASN.DRG.F</t>
  </si>
  <si>
    <t>630.100.P197</t>
  </si>
  <si>
    <t>630ASN.AMB.C</t>
  </si>
  <si>
    <t>630ASN.AMB.F</t>
  </si>
  <si>
    <t>630ASN.PS.NR</t>
  </si>
  <si>
    <t>630ASN.PSICH</t>
  </si>
  <si>
    <t>630ASN.FIL.F</t>
  </si>
  <si>
    <t>630ASN.MMG.P</t>
  </si>
  <si>
    <t>630ASN.FARMA</t>
  </si>
  <si>
    <t>630ASN.TERMA</t>
  </si>
  <si>
    <t>630ASN.AMBUL</t>
  </si>
  <si>
    <t>630ASN.INTEG</t>
  </si>
  <si>
    <t>630ASN.PROTE</t>
  </si>
  <si>
    <t>630ASN.EMOCO</t>
  </si>
  <si>
    <t>630ASN.D.TUC</t>
  </si>
  <si>
    <t>630ASN.EXREG</t>
  </si>
  <si>
    <t>630.100.P198</t>
  </si>
  <si>
    <t>630ASN.RIABI</t>
  </si>
  <si>
    <t>630.100.P199</t>
  </si>
  <si>
    <t>630ASN.CON.S</t>
  </si>
  <si>
    <t>630ASN.ALTRE</t>
  </si>
  <si>
    <t>630INTERNAZI</t>
  </si>
  <si>
    <t>630INT.AOUIR</t>
  </si>
  <si>
    <t>630INT.AS.ME</t>
  </si>
  <si>
    <t>630.200</t>
  </si>
  <si>
    <t>630RIC.PR.EX</t>
  </si>
  <si>
    <t>630AMB.PR.EX</t>
  </si>
  <si>
    <t>630ER.PS.NR</t>
  </si>
  <si>
    <t>630FILE.F.PR</t>
  </si>
  <si>
    <t>630A.PRIV.AX</t>
  </si>
  <si>
    <t>630.300</t>
  </si>
  <si>
    <t>630.300.P200</t>
  </si>
  <si>
    <t>630EP.RICOVE</t>
  </si>
  <si>
    <t>630EP.ACCOMP</t>
  </si>
  <si>
    <t>630EP.MEDICO</t>
  </si>
  <si>
    <t>630EP.AMBULA</t>
  </si>
  <si>
    <t>630EP.SER.PS</t>
  </si>
  <si>
    <t>630EP.TRASPO</t>
  </si>
  <si>
    <t>630EP.A.OSPE</t>
  </si>
  <si>
    <t>630.300.P201</t>
  </si>
  <si>
    <t>630EP.R.RSA.</t>
  </si>
  <si>
    <t>630EP.R.RIP</t>
  </si>
  <si>
    <t>630EP.ME.LAV</t>
  </si>
  <si>
    <t>630EP.PREVEN</t>
  </si>
  <si>
    <t>630EP.SA.PUB</t>
  </si>
  <si>
    <t>630EP.ABITAT</t>
  </si>
  <si>
    <t>630EP.ALIMEN</t>
  </si>
  <si>
    <t>630EP.DISINF</t>
  </si>
  <si>
    <t>630EP.ANTIIN</t>
  </si>
  <si>
    <t>630EP.FISICO</t>
  </si>
  <si>
    <t>630EP.VETRIN</t>
  </si>
  <si>
    <t>630EP.SANZIO</t>
  </si>
  <si>
    <t>630EP.LAVORO</t>
  </si>
  <si>
    <t>630EP.CERTIF</t>
  </si>
  <si>
    <t>630.300.P202</t>
  </si>
  <si>
    <t>630EP.VF.PUB</t>
  </si>
  <si>
    <t>630EP.VF.PRI</t>
  </si>
  <si>
    <t>630EP.AL.TER</t>
  </si>
  <si>
    <t>630EP.AMM.GE</t>
  </si>
  <si>
    <t>630EP.CONSUL</t>
  </si>
  <si>
    <t>630EP.FOTOCO</t>
  </si>
  <si>
    <t>630EP.DIR.SA</t>
  </si>
  <si>
    <t>630SPERIMENT</t>
  </si>
  <si>
    <t>630C.PLASMA.</t>
  </si>
  <si>
    <t>630.300.P203</t>
  </si>
  <si>
    <t>630RIC.TRANS</t>
  </si>
  <si>
    <t>630A.R.DIVER</t>
  </si>
  <si>
    <t>630.400</t>
  </si>
  <si>
    <t>630INTRAM.OS</t>
  </si>
  <si>
    <t>630INTRAM.AM</t>
  </si>
  <si>
    <t>630INTRAM.SP</t>
  </si>
  <si>
    <t>630INTRAM.55</t>
  </si>
  <si>
    <t>630INT.55.AS</t>
  </si>
  <si>
    <t>630INTRAM.AL</t>
  </si>
  <si>
    <t>630INTR.A.AS</t>
  </si>
  <si>
    <t>640ASSICURAZ</t>
  </si>
  <si>
    <t>640.200</t>
  </si>
  <si>
    <t>640RIM.COMAN</t>
  </si>
  <si>
    <t>640ALTRI.RIM</t>
  </si>
  <si>
    <t>640.300</t>
  </si>
  <si>
    <t>640COMA.ASSR</t>
  </si>
  <si>
    <t>640RIM.B.ASR</t>
  </si>
  <si>
    <t>640.300.P204</t>
  </si>
  <si>
    <t>640A.AMMININ</t>
  </si>
  <si>
    <t>640A.CON.N.S</t>
  </si>
  <si>
    <t>640A.ALTRI.R</t>
  </si>
  <si>
    <t>640A.GSA</t>
  </si>
  <si>
    <t>640.400</t>
  </si>
  <si>
    <t>640COMAN.PUB</t>
  </si>
  <si>
    <t>640RIM.B.PUB</t>
  </si>
  <si>
    <t>640.400.P205</t>
  </si>
  <si>
    <t>640COMUN.RSA</t>
  </si>
  <si>
    <t>640COMUN.SSC</t>
  </si>
  <si>
    <t>640INAIL.INF</t>
  </si>
  <si>
    <t>640AMMIN.EXT</t>
  </si>
  <si>
    <t>640CONSUL.EX</t>
  </si>
  <si>
    <t>640.AL.CO.PB</t>
  </si>
  <si>
    <t>640.500</t>
  </si>
  <si>
    <t>640.500.P206</t>
  </si>
  <si>
    <t>640PAYBACK.O</t>
  </si>
  <si>
    <t>640PAYBACK.T</t>
  </si>
  <si>
    <t>640PAYBACK.A</t>
  </si>
  <si>
    <t>640PAYB.DISM</t>
  </si>
  <si>
    <t>640.500.P207</t>
  </si>
  <si>
    <t>640TEL.DEGEN</t>
  </si>
  <si>
    <t>640PERS.VITT</t>
  </si>
  <si>
    <t>640PRIVA.SSC</t>
  </si>
  <si>
    <t>640.RIM.BOLL</t>
  </si>
  <si>
    <t>640RIM.REGIS</t>
  </si>
  <si>
    <t>640RIM.LEGAL</t>
  </si>
  <si>
    <t>640RIM.TELEF</t>
  </si>
  <si>
    <t>640RIM.POSTA</t>
  </si>
  <si>
    <t>640RIM.TASSE</t>
  </si>
  <si>
    <t>640RIM.VITTO</t>
  </si>
  <si>
    <t>640RIM.VIAGG</t>
  </si>
  <si>
    <t>640RIM.CONTR</t>
  </si>
  <si>
    <t>640A.CONCORS</t>
  </si>
  <si>
    <t>650TICKET.AM</t>
  </si>
  <si>
    <t>650TICKET.PS</t>
  </si>
  <si>
    <t>650TICKET.AL</t>
  </si>
  <si>
    <t>660FIN.STATO</t>
  </si>
  <si>
    <t>660FIN.REGIO</t>
  </si>
  <si>
    <t>660FIN.1.DOT</t>
  </si>
  <si>
    <t>660FSR.INVES</t>
  </si>
  <si>
    <t>660ALT.INVES</t>
  </si>
  <si>
    <t>660PATRIMONI</t>
  </si>
  <si>
    <t>670INCREM.LA</t>
  </si>
  <si>
    <t>680.100</t>
  </si>
  <si>
    <t>680CAMERE.SP</t>
  </si>
  <si>
    <t>680C.ROTTAMI</t>
  </si>
  <si>
    <t>680A.PRES.SA</t>
  </si>
  <si>
    <t>680.200</t>
  </si>
  <si>
    <t>680CONDOMINI</t>
  </si>
  <si>
    <t>680LOC.ATTIV</t>
  </si>
  <si>
    <t>680A.AFFITTI</t>
  </si>
  <si>
    <t>680.300</t>
  </si>
  <si>
    <t>680.ESERCIZI</t>
  </si>
  <si>
    <t>680DONAZIONI</t>
  </si>
  <si>
    <t>680A.PROVENT</t>
  </si>
  <si>
    <t>690TESORERIA</t>
  </si>
  <si>
    <t>690.200</t>
  </si>
  <si>
    <t>690D.BANCARI</t>
  </si>
  <si>
    <t>690D.POSTALI</t>
  </si>
  <si>
    <t>690.300</t>
  </si>
  <si>
    <t>690SU.TITOLI</t>
  </si>
  <si>
    <t>690.MORATORI</t>
  </si>
  <si>
    <t>690A.TRI.INT</t>
  </si>
  <si>
    <t>700PARTECIPA</t>
  </si>
  <si>
    <t>700PROV.CRED</t>
  </si>
  <si>
    <t>700PROV.TITO</t>
  </si>
  <si>
    <t>700PROV.ALTR</t>
  </si>
  <si>
    <t>700UTILI.CAM</t>
  </si>
  <si>
    <t>710RIVALUTAZ</t>
  </si>
  <si>
    <t>720PLUSVALEN</t>
  </si>
  <si>
    <t>720.200</t>
  </si>
  <si>
    <t>720DONAZIONI</t>
  </si>
  <si>
    <t>720.200.P208</t>
  </si>
  <si>
    <t>720SOP.FS.VI</t>
  </si>
  <si>
    <t>720SOP.AZSSR</t>
  </si>
  <si>
    <t>720.200.P209</t>
  </si>
  <si>
    <t>720SOP.EXTRA</t>
  </si>
  <si>
    <t>720SOP.PERSO</t>
  </si>
  <si>
    <t>720SOPRA.MMG</t>
  </si>
  <si>
    <t>720SOP.SUMAI</t>
  </si>
  <si>
    <t>720SOP.ACCRE</t>
  </si>
  <si>
    <t>720SOPRA.B&amp;S</t>
  </si>
  <si>
    <t>720SOPR.ALTR</t>
  </si>
  <si>
    <t>720.200.P210</t>
  </si>
  <si>
    <t>720INS.AZSSR</t>
  </si>
  <si>
    <t>720.200.P211</t>
  </si>
  <si>
    <t>720INS.EXTRA</t>
  </si>
  <si>
    <t>720INS.PERSO</t>
  </si>
  <si>
    <t>720INSSU.MMG</t>
  </si>
  <si>
    <t>720INS.SUMAI</t>
  </si>
  <si>
    <t>720INS.ACCRE</t>
  </si>
  <si>
    <t>720INSRA.B&amp;S</t>
  </si>
  <si>
    <t>720INSR.ALTR</t>
  </si>
  <si>
    <t>720A.STRORDI</t>
  </si>
  <si>
    <t>ACRONIMO</t>
  </si>
  <si>
    <t>340ONER.GES</t>
  </si>
  <si>
    <t>340SANZ.AMM</t>
  </si>
  <si>
    <t>305BOLL.MAR</t>
  </si>
  <si>
    <t>305AB.RIVIS</t>
  </si>
  <si>
    <t>Distribuzione farmaci da privato</t>
  </si>
  <si>
    <t>Compenso servizio distribuzione per conto (DPC)</t>
  </si>
  <si>
    <t>(Centesimi di euro)</t>
  </si>
  <si>
    <t>Il Direttore Amministrativo</t>
  </si>
  <si>
    <t>Il Direttore Generale</t>
  </si>
  <si>
    <t>Regione Friuli Venezia Giulia</t>
  </si>
  <si>
    <t>320.200.CRI</t>
  </si>
  <si>
    <t>Costo del personale comparto ruolo ricercatori piramide - tempo indeterminato</t>
  </si>
  <si>
    <t>320C.R.I.FIS</t>
  </si>
  <si>
    <t>320C.R.I.STR</t>
  </si>
  <si>
    <t>320C.R.I.IND</t>
  </si>
  <si>
    <t>320C.R.I.INC</t>
  </si>
  <si>
    <t>320C.R.I.PRE</t>
  </si>
  <si>
    <t>320C.R.I.PRO</t>
  </si>
  <si>
    <t>320C.R.I.CLA</t>
  </si>
  <si>
    <t>320ALTONCRI</t>
  </si>
  <si>
    <t>320C.R.I.TFR</t>
  </si>
  <si>
    <t>320C.R.I.PEN</t>
  </si>
  <si>
    <t>320C.R.I.ALT</t>
  </si>
  <si>
    <t>320C.R.I.ONE</t>
  </si>
  <si>
    <t>320.200.CCI</t>
  </si>
  <si>
    <t>Costo del personale comparto ruolo collaboratori piramide - tempo indeterminato</t>
  </si>
  <si>
    <t>320C.C.I.FIS</t>
  </si>
  <si>
    <t>320C.C.I.STR</t>
  </si>
  <si>
    <t>320C.C.I.IND</t>
  </si>
  <si>
    <t>320C.C.I.INC</t>
  </si>
  <si>
    <t>320C.C.I.PRE</t>
  </si>
  <si>
    <t>320C.C.I.PRO</t>
  </si>
  <si>
    <t>320C.C.I.CLA</t>
  </si>
  <si>
    <t>320ALTONCCI</t>
  </si>
  <si>
    <t>320C.C.I.TFR</t>
  </si>
  <si>
    <t>320C.C.I.PEN</t>
  </si>
  <si>
    <t>320C.C.I.ALT</t>
  </si>
  <si>
    <t>320C.C.I.ONE</t>
  </si>
  <si>
    <t>Costo del personale dirigente ruolo sociosanitario - tempo indeterminato</t>
  </si>
  <si>
    <t>Altre competenze personale dirigente ruolo socio sanitario</t>
  </si>
  <si>
    <t>Costo del personale dirigente ruolo sociosanitario - tempo determinato</t>
  </si>
  <si>
    <t>Costo del personale dirigente ruolo sociosanitario - altro</t>
  </si>
  <si>
    <t>Costo del personale comparto ruolo sociosanitario - altro</t>
  </si>
  <si>
    <t>330.100.DSSI</t>
  </si>
  <si>
    <t>330DSS.I.FIS</t>
  </si>
  <si>
    <t>330DSS.I.POS</t>
  </si>
  <si>
    <t>330DSS.I.RIS</t>
  </si>
  <si>
    <t>330DSS.I.ACC</t>
  </si>
  <si>
    <t>330ALTONDSS.I</t>
  </si>
  <si>
    <t>330DSS.I.TFR</t>
  </si>
  <si>
    <t>330DSS.I.FIP</t>
  </si>
  <si>
    <t>330DSS.I.ALT</t>
  </si>
  <si>
    <t>330DSS.I.ONE</t>
  </si>
  <si>
    <t>330.100.DSS.D</t>
  </si>
  <si>
    <t>330DSS.D.FIS</t>
  </si>
  <si>
    <t>330DSS.D.POS</t>
  </si>
  <si>
    <t>330DSS.D.RIS</t>
  </si>
  <si>
    <t>330DSS.D.ACC</t>
  </si>
  <si>
    <t>330ALTONDSS.D</t>
  </si>
  <si>
    <t>330DSS.D.TFR</t>
  </si>
  <si>
    <t>330DSS.D.FIP</t>
  </si>
  <si>
    <t>330DSS.DALT1</t>
  </si>
  <si>
    <t>330DSS.D.ONE</t>
  </si>
  <si>
    <t>330DSS.ALTRO</t>
  </si>
  <si>
    <t>330CSS.ALTRO</t>
  </si>
  <si>
    <t>Conto  Economico Gestione Sanità</t>
  </si>
  <si>
    <t>Importo 2024 BILANCIO SANITARIO (A+B)</t>
  </si>
  <si>
    <t>Importo 2024 bilancio sanità (A)</t>
  </si>
  <si>
    <t>Importo 2024 bilancio sanità disabilità (B)</t>
  </si>
  <si>
    <t>Importo 2024</t>
  </si>
  <si>
    <t>STATO PATRIMONIALE
Attivo</t>
  </si>
  <si>
    <t>Importi: Unità di Euro</t>
  </si>
  <si>
    <t>IMMOBILIZZAZIONI</t>
  </si>
  <si>
    <t>Immobilizzazioni immateriali</t>
  </si>
  <si>
    <t>Costi d'impianto e di ampliamento</t>
  </si>
  <si>
    <t>Costi di ricerca, sviluppo</t>
  </si>
  <si>
    <t>Diritti di brevetto e di utilizzazione delle opere dell'ingegno</t>
  </si>
  <si>
    <t>4)</t>
  </si>
  <si>
    <t>Immobilizzazioni immateriali in corso e acconti</t>
  </si>
  <si>
    <t>5)</t>
  </si>
  <si>
    <t>Altre immobilizzazioni immateriali</t>
  </si>
  <si>
    <t>Immobilizzazioni materiali</t>
  </si>
  <si>
    <t>Terreni</t>
  </si>
  <si>
    <t>a)</t>
  </si>
  <si>
    <t>Terreni disponibili</t>
  </si>
  <si>
    <t>b)</t>
  </si>
  <si>
    <t>Terreni indisponibili</t>
  </si>
  <si>
    <t>Fabbricati</t>
  </si>
  <si>
    <t>Fabbricati non strumentali (disponibili)</t>
  </si>
  <si>
    <t>Fabbricati strumentali (indisponibili)</t>
  </si>
  <si>
    <t>Impianti e macchinari</t>
  </si>
  <si>
    <t>Attrezzature sanitarie e scientifiche</t>
  </si>
  <si>
    <t>Mobili e arredi</t>
  </si>
  <si>
    <t>6)</t>
  </si>
  <si>
    <t>Automezzi</t>
  </si>
  <si>
    <t>7)</t>
  </si>
  <si>
    <t>Oggetti d'arte</t>
  </si>
  <si>
    <t>8)</t>
  </si>
  <si>
    <t>Altre immobilizzazioni materiali</t>
  </si>
  <si>
    <t>9)</t>
  </si>
  <si>
    <t>Immobilizzazioni materiali in corso e acconti</t>
  </si>
  <si>
    <t>Entro 12 mesi</t>
  </si>
  <si>
    <t>Oltre 12 mesi</t>
  </si>
  <si>
    <t>Immobilizzazioni finanziarie (con separata indicazione, per ciascuna voce dei crediti, degli importi esigibili entro l'esercizio successivo)</t>
  </si>
  <si>
    <t>Crediti finanziari</t>
  </si>
  <si>
    <t>Crediti finanziari v/Stato</t>
  </si>
  <si>
    <t>Crediti finanziari v/Regione</t>
  </si>
  <si>
    <t>c)</t>
  </si>
  <si>
    <t>Crediti finanziari v/partecipate</t>
  </si>
  <si>
    <t>d)</t>
  </si>
  <si>
    <t>Crediti finanziari v/altri</t>
  </si>
  <si>
    <t>Titoli</t>
  </si>
  <si>
    <t>Partecipazioni</t>
  </si>
  <si>
    <t>Altri titoli</t>
  </si>
  <si>
    <t>Totale A)</t>
  </si>
  <si>
    <t>ATTIVO CIRCOLANTE</t>
  </si>
  <si>
    <t>Rimanenze</t>
  </si>
  <si>
    <t>Rimanenze beni sanitari</t>
  </si>
  <si>
    <t>Rimanenze beni non sanitari</t>
  </si>
  <si>
    <t>Acconti per acquisti beni sanitari</t>
  </si>
  <si>
    <t>Acconti per acquisti beni non sanitari</t>
  </si>
  <si>
    <t>Crediti (con separata indicazione per ciascuna voce, degli importi esigibili oltre l'esercizio successivo)</t>
  </si>
  <si>
    <t>Crediti v/Stato</t>
  </si>
  <si>
    <t>Crediti v/Stato parte corrente</t>
  </si>
  <si>
    <t>Crediti v/Stato per spesa corrente ed acconti</t>
  </si>
  <si>
    <t>Crediti v/Stato -  altro</t>
  </si>
  <si>
    <t>Crediti v/Stato per investimenti</t>
  </si>
  <si>
    <t>Crediti v/Stato per ricerca</t>
  </si>
  <si>
    <t xml:space="preserve">Crediti v/Ministero della Salute per ricerca corrente </t>
  </si>
  <si>
    <t>Crediti v/ Ministero della Salute per ricerca finalizzata</t>
  </si>
  <si>
    <t xml:space="preserve">Crediti v/Stato per ricerca - altre Amministrazioni centrali </t>
  </si>
  <si>
    <t>Crediti v/Stato - investimenti per ricerca</t>
  </si>
  <si>
    <t>Crediti v/prefetture</t>
  </si>
  <si>
    <t>Crediti v/Regione o Provincia Autonoma</t>
  </si>
  <si>
    <t>Crediti v/Regione o Provincia Autonoma - parte corrente</t>
  </si>
  <si>
    <t>Crediti v/Regione o Provincia Autonoma per spesa corrente</t>
  </si>
  <si>
    <t>a) Crediti v/Regione o Provincia Autonoma per finanziamento sanitario ordinario corrente</t>
  </si>
  <si>
    <t>b) Crediti v/Regione o Provincia Autonoma per finanziamento sanitario aggiuntivo corrente LEA</t>
  </si>
  <si>
    <t>c) Crediti v/Regione o Provincia Autonoma per finanziamento sanitario aggiuntivo corrente extra LEA</t>
  </si>
  <si>
    <t>d) Crediti v/Regione o Provincia Autonoma per spesa corrente - altro</t>
  </si>
  <si>
    <t>Crediti v/Regione o Provincia Autonoma per ricerca</t>
  </si>
  <si>
    <t>Crediti v/Regione o Provincia Autonoma - patrimonio netto</t>
  </si>
  <si>
    <t>Crediti v/Regione o Provincia Aut. per finanz.per investimenti</t>
  </si>
  <si>
    <t>Crediti v/Regione o Provincia Aut. per increm. fondo dotazione</t>
  </si>
  <si>
    <t>Crediti v/Regione o Provincia Autonoma per ripiano perdite</t>
  </si>
  <si>
    <t>Crediti v/Regione o Provincia Autonoma per ricostituzione risorse da investimenti esercizi precedenti</t>
  </si>
  <si>
    <t>Crediti v/Comuni</t>
  </si>
  <si>
    <t>Crediti v/Aziende sanitarie pubbliche e acconto quota FSR da distribuire</t>
  </si>
  <si>
    <t>Crediti v/Aziende sanitarie pubbliche della Regione</t>
  </si>
  <si>
    <t>Crediti v/Aziende sanitarie pubbliche fuori Regione</t>
  </si>
  <si>
    <t>Crediti v/società partecipate e/o enti dipendenti della Regione</t>
  </si>
  <si>
    <t>Crediti v/Erario</t>
  </si>
  <si>
    <t>Crediti v/altri</t>
  </si>
  <si>
    <t>Attività finanziarie che non costituiscono immobilizzazioni</t>
  </si>
  <si>
    <t>Partecipazioni che non costituiscono immobilizzazioni</t>
  </si>
  <si>
    <t>Altri titoli che non costituiscono immobilizzazioni</t>
  </si>
  <si>
    <t>Disponibilità liquide</t>
  </si>
  <si>
    <t>Cassa</t>
  </si>
  <si>
    <t>Istituto Tesoriere</t>
  </si>
  <si>
    <t>Tesoreria Unica</t>
  </si>
  <si>
    <t>Conto corrente postale</t>
  </si>
  <si>
    <t>Totale B)</t>
  </si>
  <si>
    <t>RATEI E RISCONTI ATTIVI</t>
  </si>
  <si>
    <t>Ratei attivi</t>
  </si>
  <si>
    <t>Risconti attivi</t>
  </si>
  <si>
    <t>Totale C)</t>
  </si>
  <si>
    <t>TOTALE ATTIVO (A+B+C)</t>
  </si>
  <si>
    <t>CONTI D'ORDINE</t>
  </si>
  <si>
    <t xml:space="preserve">1) </t>
  </si>
  <si>
    <t>Canoni leasing ancora da pagare</t>
  </si>
  <si>
    <t>Depositi cauzionali</t>
  </si>
  <si>
    <t>Beni in comodato</t>
  </si>
  <si>
    <t>Altri conti d'ordine</t>
  </si>
  <si>
    <t>Totale D)</t>
  </si>
  <si>
    <t>STATO PATRIMONIALE
Passivo e Patrimonio netto</t>
  </si>
  <si>
    <t>Importi: unità di Euro</t>
  </si>
  <si>
    <t>PATRIMONIO NETTO</t>
  </si>
  <si>
    <t>Fondo di dotazione</t>
  </si>
  <si>
    <t>Finanziamenti per investimenti</t>
  </si>
  <si>
    <t>Finanziamenti per beni di prima dotazione</t>
  </si>
  <si>
    <t>Finanziamenti da Stato per investimenti</t>
  </si>
  <si>
    <t xml:space="preserve">a) </t>
  </si>
  <si>
    <t>Finanziamenti da Stato per investimenti - ex art. 20 legge 67/88</t>
  </si>
  <si>
    <t>Finanziamenti da Stato per ricerca</t>
  </si>
  <si>
    <t xml:space="preserve">c) </t>
  </si>
  <si>
    <t>Finanziamenti da Stato - altro</t>
  </si>
  <si>
    <t>Finanziamenti da Regione per investimenti</t>
  </si>
  <si>
    <t>Finanziamenti da altri soggetti pubblici per investimenti</t>
  </si>
  <si>
    <t>Finanziamenti per investimenti da rettifica contributi in conto esercizio</t>
  </si>
  <si>
    <t>Riserve da donazioni e lasciti vincolati ad investimenti</t>
  </si>
  <si>
    <t>Altre riserve</t>
  </si>
  <si>
    <t xml:space="preserve">Contributi per ripiani perdite </t>
  </si>
  <si>
    <t>Utili (perdite) portati a nuovo</t>
  </si>
  <si>
    <t>VII</t>
  </si>
  <si>
    <t>Utile (Perdita) dell'esercizio</t>
  </si>
  <si>
    <t>FONDI PER RISCHI E ONERI</t>
  </si>
  <si>
    <t>Fondi per imposte, anche differite</t>
  </si>
  <si>
    <t>Fondi per rischi</t>
  </si>
  <si>
    <t>Fondi da distribuire</t>
  </si>
  <si>
    <t xml:space="preserve">Quote inutilizzate contributi di parte corrente vincolati </t>
  </si>
  <si>
    <t>Altri fondi oneri</t>
  </si>
  <si>
    <t>TRATTAMENTO FINE RAPPORTO</t>
  </si>
  <si>
    <t>Premio operosità</t>
  </si>
  <si>
    <t>TFR personale dipendente</t>
  </si>
  <si>
    <t>DEBITI (con separata indicazione per ciascuna voce, degli importi esigibili oltre l'esercizio successivo)</t>
  </si>
  <si>
    <t>Mutui passivi</t>
  </si>
  <si>
    <t>Debiti v/Stato</t>
  </si>
  <si>
    <t>Debiti v/Regione o provincia Autonoma</t>
  </si>
  <si>
    <t>Debiti v/Comuni</t>
  </si>
  <si>
    <t>Debiti verso aziende sanitarie pubbliche</t>
  </si>
  <si>
    <t>Debiti v/ aziende sanitarie pubbliche della Regione per spese correnti e mobilità</t>
  </si>
  <si>
    <t>Debiti v/ aziende sanitarie pubbliche della Regione per finanziamento sanitario aggiuntivo corrente LEA</t>
  </si>
  <si>
    <t>Debiti v/ aziende sanitarie pubbliche della Regione per finanziamento sanitario aggiuntivo corrente extra LEA</t>
  </si>
  <si>
    <t>Debiti v/ aziende sanitarie pubbliche della Regione per altre prestazioni</t>
  </si>
  <si>
    <t>e)</t>
  </si>
  <si>
    <t>Debiti v/ aziende sanitarie pubbliche della Regione per versamenti a patrimonio netto</t>
  </si>
  <si>
    <t>f)</t>
  </si>
  <si>
    <t>Debiti v/ aziende sanitarie pubbliche fuori Regione</t>
  </si>
  <si>
    <t>Debiti v/ società partecipate e/o enti dipendenti della Regione</t>
  </si>
  <si>
    <t>Debiti v/ fornitori</t>
  </si>
  <si>
    <t>Debiti v/ istituto tesoriere</t>
  </si>
  <si>
    <t>Debiti tributari</t>
  </si>
  <si>
    <t>10)</t>
  </si>
  <si>
    <t>Debiti v/ altri finanziatori</t>
  </si>
  <si>
    <t>11)</t>
  </si>
  <si>
    <t>Debiti v/ istituti previdenziali e sicurezza sociale</t>
  </si>
  <si>
    <t>12)</t>
  </si>
  <si>
    <t>Debiti v/ altri</t>
  </si>
  <si>
    <t>RATEI E RISCONTI PASSIVI</t>
  </si>
  <si>
    <t>Ratei passivi</t>
  </si>
  <si>
    <t>Risconti passivi</t>
  </si>
  <si>
    <t>Totale E)</t>
  </si>
  <si>
    <t>TOTALE PASSIVO E PATRIMONIO NETTO (A+B+C+D+E)</t>
  </si>
  <si>
    <t>F)</t>
  </si>
  <si>
    <t xml:space="preserve"> </t>
  </si>
  <si>
    <t>Totale F)</t>
  </si>
  <si>
    <t>SP</t>
  </si>
  <si>
    <t xml:space="preserve">MODELLO DI RILEVAZIONE DELLO STATO PATRIMONIALE 
ENTI DEL SERVIZIO SANITARIO NAZIONALE
</t>
  </si>
  <si>
    <t>OGGETTO DELLA RILEVAZIONE</t>
  </si>
  <si>
    <t xml:space="preserve">            ANNO</t>
  </si>
  <si>
    <t xml:space="preserve">    TRIMESTRE</t>
  </si>
  <si>
    <t xml:space="preserve">    PREVENTIVO</t>
  </si>
  <si>
    <t xml:space="preserve">CONSUNTIVO </t>
  </si>
  <si>
    <t xml:space="preserve">NO  </t>
  </si>
  <si>
    <t>(Centesimo di euro)</t>
  </si>
  <si>
    <t>AAZ999</t>
  </si>
  <si>
    <t>A) IMMOBILIZZAZIONI</t>
  </si>
  <si>
    <t>AAA000</t>
  </si>
  <si>
    <t>A.I) IMMOBILIZZAZIONI IMMATERIALI</t>
  </si>
  <si>
    <t>AAA010</t>
  </si>
  <si>
    <t>A.I.1) Costi di impianto e di ampliamento</t>
  </si>
  <si>
    <t>AAA020</t>
  </si>
  <si>
    <t>A.I.1.a) Costi di impianto e di ampliamento</t>
  </si>
  <si>
    <t>AAA030</t>
  </si>
  <si>
    <t>A.I.1.b) F.do Amm.to costi di impianto e di ampliamento</t>
  </si>
  <si>
    <t>AAA040</t>
  </si>
  <si>
    <t>A.I.2) Costi di ricerca e sviluppo</t>
  </si>
  <si>
    <t>AAA050</t>
  </si>
  <si>
    <t>A.I.2.a) Costi di ricerca e sviluppo</t>
  </si>
  <si>
    <t>AAA060</t>
  </si>
  <si>
    <t>A.I.2.b) F.do Amm.to costi di ricerca e sviluppo</t>
  </si>
  <si>
    <t>AAA070</t>
  </si>
  <si>
    <t>A.I.3) Diritti di brevetto e diritti di utilizzazione delle opere d'ingegno</t>
  </si>
  <si>
    <t>AAA080</t>
  </si>
  <si>
    <t>A.I.3.a) Diritti di brevetto e diritti di utilizzazione delle opere d'ingegno - derivanti dall'attività di ricerca</t>
  </si>
  <si>
    <t>AAA090</t>
  </si>
  <si>
    <t>A.I.3.b) F.do Amm.to diritti di brevetto e diritti di utilizzazione delle opere d'ingegno - derivanti dall'attività di ricerca</t>
  </si>
  <si>
    <t>AAA100</t>
  </si>
  <si>
    <t>A.I.3.c) Diritti di brevetto e diritti di utilizzazione delle opere d'ingegno - altri</t>
  </si>
  <si>
    <t>AAA110</t>
  </si>
  <si>
    <t>A.I.3.d) F.do Amm.to diritti di brevetto e diritti di utilizzazione delle opere d'ingegno - altri</t>
  </si>
  <si>
    <t>AAA120</t>
  </si>
  <si>
    <t>A.I.4) Immobilizzazioni immateriali in corso e acconti</t>
  </si>
  <si>
    <t>AAA130</t>
  </si>
  <si>
    <t>A.I.5) Altre immobilizzazioni immateriali</t>
  </si>
  <si>
    <t>AAA140</t>
  </si>
  <si>
    <t>A.I.5.a) Concessioni, licenze, marchi e diritti simili</t>
  </si>
  <si>
    <t>AAA150</t>
  </si>
  <si>
    <t>A.I.5.b) F.do Amm.to concessioni, licenze, marchi e diritti simili</t>
  </si>
  <si>
    <t>AAA160</t>
  </si>
  <si>
    <t>A.I.5.c) Migliorie su beni di terzi</t>
  </si>
  <si>
    <t>AAA170</t>
  </si>
  <si>
    <t>A.I.5.d) F.do Amm.to migliorie su beni di terzi</t>
  </si>
  <si>
    <t>AAA180</t>
  </si>
  <si>
    <t>A.I.5.e) Pubblicità</t>
  </si>
  <si>
    <t>AAA190</t>
  </si>
  <si>
    <t>A.I.5.f) F.do Amm.to pubblicità</t>
  </si>
  <si>
    <t>AAA200</t>
  </si>
  <si>
    <t>A.I.5.g) Altre immobilizzazioni immateriali</t>
  </si>
  <si>
    <t>AAA210</t>
  </si>
  <si>
    <t>A.I.5.h) F.do Amm.to altre immobilizzazioni immateriali</t>
  </si>
  <si>
    <t>AAA220</t>
  </si>
  <si>
    <t>A.I.6) Fondo Svalutazione immobilizzazioni immateriali</t>
  </si>
  <si>
    <t>AAA230</t>
  </si>
  <si>
    <t>A.I.6.a) F.do Svalut. Costi di impianto e di ampliamento</t>
  </si>
  <si>
    <t>AAA240</t>
  </si>
  <si>
    <t>A.I.6.b) F.do Svalut. Costi di ricerca e sviluppo</t>
  </si>
  <si>
    <t>AAA250</t>
  </si>
  <si>
    <t>A.I.6.c) F.do Svalut. Diritti di brevetto e diritti di utilizzazione delle opere d'ingegno</t>
  </si>
  <si>
    <t>AAA260</t>
  </si>
  <si>
    <t>A.I.6.d) F.do Svalut. Altre immobilizzazioni immateriali</t>
  </si>
  <si>
    <t>AAA270</t>
  </si>
  <si>
    <t>A.II)IMMOBILIZZAZIONI MATERIALI</t>
  </si>
  <si>
    <t>AAA280</t>
  </si>
  <si>
    <t>A.II.1) Terreni</t>
  </si>
  <si>
    <t>AAA290</t>
  </si>
  <si>
    <t>A.II.1.a) Terreni disponibili</t>
  </si>
  <si>
    <t>AAA300</t>
  </si>
  <si>
    <t>A.II.1.b) Terreni indisponibili</t>
  </si>
  <si>
    <t>AAA310</t>
  </si>
  <si>
    <t>A.II.2) Fabbricati</t>
  </si>
  <si>
    <t>AAA320</t>
  </si>
  <si>
    <t>A.II.2.a) Fabbricati non strumentali (disponibili)</t>
  </si>
  <si>
    <t>AAA330</t>
  </si>
  <si>
    <t>A.II.2.a.1) Fabbricati non strumentali (disponibili)</t>
  </si>
  <si>
    <t>AAA340</t>
  </si>
  <si>
    <t>A.II.2.a.2) F.do Amm.to Fabbricati non strumentali (disponibili)</t>
  </si>
  <si>
    <t>AAA350</t>
  </si>
  <si>
    <t>A.II.2.b) Fabbricati strumentali (indisponibili)</t>
  </si>
  <si>
    <t>AAA360</t>
  </si>
  <si>
    <t>A.II.2.b.1) Fabbricati strumentali (indisponibili)</t>
  </si>
  <si>
    <t>AAA370</t>
  </si>
  <si>
    <t>A.II.2.b.2) F.do Amm.to Fabbricati strumentali (indisponibili)</t>
  </si>
  <si>
    <t>AAA380</t>
  </si>
  <si>
    <t>A.II.3) Impianti e macchinari</t>
  </si>
  <si>
    <t>AAA390</t>
  </si>
  <si>
    <t>A.II.3.a) Impianti e macchinari</t>
  </si>
  <si>
    <t>AAA400</t>
  </si>
  <si>
    <t>A.II.3.b) F.do Amm.to Impianti e macchinari</t>
  </si>
  <si>
    <t>AAA410</t>
  </si>
  <si>
    <t>A.II.4) Attrezzature sanitarie e scientifiche</t>
  </si>
  <si>
    <t>AAA420</t>
  </si>
  <si>
    <t>A.II.4.a) Attrezzature sanitarie e scientifiche</t>
  </si>
  <si>
    <t>AAA430</t>
  </si>
  <si>
    <t>A.II.4.b) F.do Amm.to Attrezzature sanitarie e scientifiche</t>
  </si>
  <si>
    <t>AAA440</t>
  </si>
  <si>
    <t>A.II.5) Mobili e arredi</t>
  </si>
  <si>
    <t>AAA450</t>
  </si>
  <si>
    <t>A.II.5.a) Mobili e arredi</t>
  </si>
  <si>
    <t>AAA460</t>
  </si>
  <si>
    <t>A.II.5.b) F.do Amm.to Mobili e arredi</t>
  </si>
  <si>
    <t>AAA470</t>
  </si>
  <si>
    <t>A.II.6) Automezzi</t>
  </si>
  <si>
    <t>AAA480</t>
  </si>
  <si>
    <t>A.II.6.a) Automezzi</t>
  </si>
  <si>
    <t>AAA490</t>
  </si>
  <si>
    <t>A.II.6.b) F.do Amm.to Automezzi</t>
  </si>
  <si>
    <t>AAA500</t>
  </si>
  <si>
    <t>A.II.7) Oggetti d'arte</t>
  </si>
  <si>
    <t>AAA510</t>
  </si>
  <si>
    <t>A.II.8) Altre immobilizzazioni materiali</t>
  </si>
  <si>
    <t>AAA520</t>
  </si>
  <si>
    <t>A.II.8.a) Altre immobilizzazioni materiali</t>
  </si>
  <si>
    <t>AAA530</t>
  </si>
  <si>
    <t>A.II.8.b) F.do Amm.to Altre immobilizzazioni materiali</t>
  </si>
  <si>
    <t>AAA540</t>
  </si>
  <si>
    <t>A.II.9) Immobilizzazioni materiali in corso e acconti</t>
  </si>
  <si>
    <t>AAA550</t>
  </si>
  <si>
    <t>A.II.10) Fondo Svalutazione immobilizzazioni materiali</t>
  </si>
  <si>
    <t>AAA560</t>
  </si>
  <si>
    <t>A.II.10.a) F.do Svalut. Terreni</t>
  </si>
  <si>
    <t>AAA570</t>
  </si>
  <si>
    <t>A.II.10.b) F.do Svalut. Fabbricati</t>
  </si>
  <si>
    <t>AAA580</t>
  </si>
  <si>
    <t>A.II.10.c) F.do Svalut. Impianti e macchinari</t>
  </si>
  <si>
    <t>AAA590</t>
  </si>
  <si>
    <t>A.II.10.d) F.do Svalut. Attrezzature sanitarie e scientifiche</t>
  </si>
  <si>
    <t>AAA600</t>
  </si>
  <si>
    <t>A.II.10.e) F.do Svalut. Mobili e arredi</t>
  </si>
  <si>
    <t>AAA610</t>
  </si>
  <si>
    <t>A.II.10.f) F.do Svalut. Automezzi</t>
  </si>
  <si>
    <t>AAA620</t>
  </si>
  <si>
    <t>A.II.10.g) F.do Svalut. Oggetti d'arte</t>
  </si>
  <si>
    <t>AAA630</t>
  </si>
  <si>
    <t>A.II.10.h) F.do Svalut. Altre immobilizzazioni materiali</t>
  </si>
  <si>
    <t>AAA640</t>
  </si>
  <si>
    <t>A.III)IMMOBILIZZAZIONI FINANZIARIE</t>
  </si>
  <si>
    <t>AAA650</t>
  </si>
  <si>
    <t>A.III.1) Crediti finanziari</t>
  </si>
  <si>
    <t>AAA660</t>
  </si>
  <si>
    <t>A.III.1.a) Crediti finanziari v/Stato</t>
  </si>
  <si>
    <t>AAA670</t>
  </si>
  <si>
    <t>A.III.1.b) Crediti finanziari v/Regione</t>
  </si>
  <si>
    <t>AAA680</t>
  </si>
  <si>
    <t>A.III.1.c) Crediti finanziari v/partecipate</t>
  </si>
  <si>
    <t>AAA690</t>
  </si>
  <si>
    <t>A.III.1.d) Crediti finanziari v/altri</t>
  </si>
  <si>
    <t>AAA700</t>
  </si>
  <si>
    <t>A.III.2) Titoli</t>
  </si>
  <si>
    <t>AAA710</t>
  </si>
  <si>
    <t>A.III.2.a) Partecipazioni</t>
  </si>
  <si>
    <t>AAA720</t>
  </si>
  <si>
    <t>A.III.2.b) Altri titoli</t>
  </si>
  <si>
    <t>AAA730</t>
  </si>
  <si>
    <t>A.III.2.b.1) Titoli di Stato</t>
  </si>
  <si>
    <t>AAA740</t>
  </si>
  <si>
    <t>A.III.2.b.2) Altre Obbligazioni</t>
  </si>
  <si>
    <t>AAA750</t>
  </si>
  <si>
    <t>A.III.2.b.3) Titoli azionari quotati in Borsa</t>
  </si>
  <si>
    <t>AAA760</t>
  </si>
  <si>
    <t>A.III.2.b.4) Titoli diversi</t>
  </si>
  <si>
    <t>ABZ999</t>
  </si>
  <si>
    <t>B) ATTIVO CIRCOLANTE</t>
  </si>
  <si>
    <t>ABA000</t>
  </si>
  <si>
    <t>B.I) RIMANENZE</t>
  </si>
  <si>
    <t>ABA010</t>
  </si>
  <si>
    <t>B.I.1) Rimanenze beni sanitari</t>
  </si>
  <si>
    <t>ABA020</t>
  </si>
  <si>
    <t>B.I.1.a) Prodotti farmaceutici ed emoderivati</t>
  </si>
  <si>
    <t>ABA030</t>
  </si>
  <si>
    <t>B.I.1.b) Sangue ed emocomponenti</t>
  </si>
  <si>
    <t>ABA040</t>
  </si>
  <si>
    <t>B.I.1.c) Dispositivi medici</t>
  </si>
  <si>
    <t>ABA050</t>
  </si>
  <si>
    <t>B.I.1.d) Prodotti dietetici</t>
  </si>
  <si>
    <t>ABA060</t>
  </si>
  <si>
    <t>B.I.1.e) Materiali per la profilassi (vaccini)</t>
  </si>
  <si>
    <t>ABA070</t>
  </si>
  <si>
    <t>B.I.1.f) Prodotti chimici</t>
  </si>
  <si>
    <t>ABA080</t>
  </si>
  <si>
    <t>B.I.1.g) Materiali e prodotti per uso veterinario</t>
  </si>
  <si>
    <t>ABA090</t>
  </si>
  <si>
    <t>B.I.1.h) Altri beni e prodotti sanitari</t>
  </si>
  <si>
    <t>ABA100</t>
  </si>
  <si>
    <t>B.I.1.i) Acconti per acquisto di beni e prodotti sanitari</t>
  </si>
  <si>
    <t>ABA110</t>
  </si>
  <si>
    <t>B.I.2) Rimanenze beni non sanitari</t>
  </si>
  <si>
    <t>ABA120</t>
  </si>
  <si>
    <t>B.I.2.a) Prodotti alimentari</t>
  </si>
  <si>
    <t>ABA130</t>
  </si>
  <si>
    <t>B.I.2.b) Materiali di guardaroba, di pulizia, e di convivenza in genere</t>
  </si>
  <si>
    <t>ABA140</t>
  </si>
  <si>
    <t>B.I.2.c) Combustibili, carburanti e lubrificanti</t>
  </si>
  <si>
    <t>ABA150</t>
  </si>
  <si>
    <t>B.I.2.d) Supporti informatici e cancelleria</t>
  </si>
  <si>
    <t>ABA160</t>
  </si>
  <si>
    <t>B.I.2.e) Materiale per la manutenzione</t>
  </si>
  <si>
    <t>ABA170</t>
  </si>
  <si>
    <t>B.I.2.f) Altri beni e prodotti non sanitari</t>
  </si>
  <si>
    <t>ABA180</t>
  </si>
  <si>
    <t>B.I.2.g) Acconti per acquisto di beni e prodotti non sanitari</t>
  </si>
  <si>
    <t>ABA190</t>
  </si>
  <si>
    <t xml:space="preserve">B.II) CREDITI </t>
  </si>
  <si>
    <t>ABA200</t>
  </si>
  <si>
    <t>B.II.1) Crediti v/Stato</t>
  </si>
  <si>
    <t>ABA201</t>
  </si>
  <si>
    <t>B.II.1.a) Crediti v/Stato per spesa corrente - FSN indistinto</t>
  </si>
  <si>
    <t>ABA220</t>
  </si>
  <si>
    <t>B.II.1.b) Crediti v/Stato per spesa corrente - FSN vincolato</t>
  </si>
  <si>
    <t>ABA230</t>
  </si>
  <si>
    <t>B.II.1.c) Crediti v/Stato per mobilità attiva extraregionale</t>
  </si>
  <si>
    <t>ABA240</t>
  </si>
  <si>
    <t>B.II.1.d) Crediti v/Stato per mobilità attiva internazionale</t>
  </si>
  <si>
    <t>ABA250</t>
  </si>
  <si>
    <t>B.II.1.e) Crediti v/Stato per acconto quota fabbisogno sanitario regionale standard</t>
  </si>
  <si>
    <t>ABA260</t>
  </si>
  <si>
    <t>B.II.1.f) Crediti v/Stato per finanziamento sanitario aggiuntivo corrente</t>
  </si>
  <si>
    <t>ABA270</t>
  </si>
  <si>
    <t>B.II.1.g) Crediti v/Stato per spesa corrente - altro</t>
  </si>
  <si>
    <t>ABA271</t>
  </si>
  <si>
    <t>B.II.1.h) Crediti v/Stato per spesa corrente per STP (ex D.lgs. 286/98)</t>
  </si>
  <si>
    <t>ABA280</t>
  </si>
  <si>
    <t>B.II.1.i) Crediti v/Stato per finanziamenti per investimenti</t>
  </si>
  <si>
    <t>ABA290</t>
  </si>
  <si>
    <t>B.II.1.j) Crediti v/Stato per ricerca</t>
  </si>
  <si>
    <t>ABA300</t>
  </si>
  <si>
    <t>B.II.1.j.1) Crediti v/Stato per ricerca corrente - Ministero della Salute</t>
  </si>
  <si>
    <t>ABA310</t>
  </si>
  <si>
    <t>B.II.1.j.2) Crediti v/Stato per ricerca finalizzata - Ministero della Salute</t>
  </si>
  <si>
    <t>ABA320</t>
  </si>
  <si>
    <t xml:space="preserve">B.II.1.j.3) Crediti v/Stato per ricerca - altre Amministrazioni centrali </t>
  </si>
  <si>
    <t>ABA330</t>
  </si>
  <si>
    <t>B.II.1.j.4) Crediti v/Stato per ricerca - finanziamenti per investimenti</t>
  </si>
  <si>
    <t>ABA340</t>
  </si>
  <si>
    <t>B.II.1.k) Crediti v/prefetture</t>
  </si>
  <si>
    <t>ABA350</t>
  </si>
  <si>
    <t>B.II.2) Crediti v/Regione o Provincia Autonoma</t>
  </si>
  <si>
    <t>ABA360</t>
  </si>
  <si>
    <t>B.II.2.a) Crediti v/Regione o Provincia Autonoma per spesa corrente</t>
  </si>
  <si>
    <t>RR</t>
  </si>
  <si>
    <t>ABA390</t>
  </si>
  <si>
    <t>B.II.2.a.1) Crediti v/Regione o Provincia Autonoma per quota FSR</t>
  </si>
  <si>
    <t>ABA400</t>
  </si>
  <si>
    <t>B.II.2.a.2) Crediti v/Regione o Provincia Autonoma per mobilità attiva intraregionale</t>
  </si>
  <si>
    <t>ABA410</t>
  </si>
  <si>
    <t>B.II.2.a.3) Crediti v/Regione o Provincia Autonoma per mobilità attiva extraregionale</t>
  </si>
  <si>
    <t>ABA420</t>
  </si>
  <si>
    <t>B.II.2.a.4) Crediti v/Regione o Provincia Autonoma per acconto quota FSR</t>
  </si>
  <si>
    <t>ABA430</t>
  </si>
  <si>
    <t>B.II.2.a.5) Crediti v/Regione o Provincia Autonoma per finanziamento sanitario aggiuntivo corrente LEA</t>
  </si>
  <si>
    <t>ABA440</t>
  </si>
  <si>
    <t>B.II.2.a.6) Crediti v/Regione o Provincia Autonoma per finanziamento sanitario aggiuntivo corrente extra LEA</t>
  </si>
  <si>
    <t>ABA450</t>
  </si>
  <si>
    <t>B.II.2.a.7) Crediti v/Regione o Provincia Autonoma per spesa corrente - altro</t>
  </si>
  <si>
    <t>ABA451</t>
  </si>
  <si>
    <t>B.II.2.a.8) Crediti v/Regione o Provincia Autonoma per spesa corrente - STP (ex D.lgs. 286/98)</t>
  </si>
  <si>
    <t>ABA460</t>
  </si>
  <si>
    <t>B.II.2.a.9) Crediti v/Regione o Provincia Autonoma per ricerca</t>
  </si>
  <si>
    <t>ABA461</t>
  </si>
  <si>
    <t>B.II.2.a.10) Crediti v/Regione o Provincia Autonoma per mobilità attiva internazionale</t>
  </si>
  <si>
    <t>ABA470</t>
  </si>
  <si>
    <t>B.II.2.b) Crediti v/Regione o Provincia Autonoma per versamenti a patrimonio netto</t>
  </si>
  <si>
    <t>ABA480</t>
  </si>
  <si>
    <t>B.II.2.b.1) Crediti v/Regione o Provincia Autonoma per finanziamenti per investimenti</t>
  </si>
  <si>
    <t>ABA490</t>
  </si>
  <si>
    <t>B.II.2.b.2) Crediti v/Regione o Provincia Autonoma per incremento fondo dotazione</t>
  </si>
  <si>
    <t>ABA500</t>
  </si>
  <si>
    <t>B.II.2.b.3) Crediti v/Regione o Provincia Autonoma per ripiano perdite</t>
  </si>
  <si>
    <t>ABA501</t>
  </si>
  <si>
    <t>B.II.2.b.4) Crediti v/Regione o Provincia Autonoma per anticipazione ripiano disavanzo programmato dai Piani aziendali di cui all'art. 1, comma 528, L. 208/2015</t>
  </si>
  <si>
    <t>ABA510</t>
  </si>
  <si>
    <t>B.II.2.b.5) Crediti v/Regione per copertura debiti al 31/12/2005</t>
  </si>
  <si>
    <t>ABA520</t>
  </si>
  <si>
    <t>B.II.2.b.6) Crediti v/Regione o Provincia Autonoma per ricostituzione risorse da investimenti esercizi precedenti</t>
  </si>
  <si>
    <t>ABA521</t>
  </si>
  <si>
    <t>B.II.2.c)  Crediti v/Regione o Provincia Autonoma per contributi L. 210/92</t>
  </si>
  <si>
    <t>ABA522</t>
  </si>
  <si>
    <t>B.II.2.d) Crediti v/Regione o Provincia Autonoma per contributi L. 210/92 – aziende sanitarie</t>
  </si>
  <si>
    <t>ABA530</t>
  </si>
  <si>
    <t>B.II.3) Crediti v/Comuni</t>
  </si>
  <si>
    <t>ABA540</t>
  </si>
  <si>
    <t>B.II.4) Crediti v/Aziende sanitarie pubbliche</t>
  </si>
  <si>
    <t>ABA550</t>
  </si>
  <si>
    <t>B.II.4.a) Crediti v/Aziende sanitarie pubbliche della Regione</t>
  </si>
  <si>
    <t>ABA560</t>
  </si>
  <si>
    <t>B.II.4.a.1) Crediti v/Aziende sanitarie pubbliche della Regione - per mobilità in compensazione</t>
  </si>
  <si>
    <t>ABA570</t>
  </si>
  <si>
    <t>B.II.4.a.2) Crediti v/Aziende sanitarie pubbliche della Regione - per mobilità non in compensazione</t>
  </si>
  <si>
    <t>ABA580</t>
  </si>
  <si>
    <t>B.II.4.a.3) Crediti v/Aziende sanitarie pubbliche della Regione - per altre prestazioni</t>
  </si>
  <si>
    <t>ABA590</t>
  </si>
  <si>
    <t>B.II.4.b) Acconto quota FSR da distribuire</t>
  </si>
  <si>
    <t>ABA591</t>
  </si>
  <si>
    <t>B.II.4.c) Crediti v/Aziende sanitarie pubbliche della Regione per anticipazione ripiano disavanzo programmato dai Piani aziendali di cui all'art. 1, comma 528, L. 208/2015</t>
  </si>
  <si>
    <t>ABA600</t>
  </si>
  <si>
    <t>B.II.4.d) Crediti v/Aziende sanitarie pubbliche Extraregione</t>
  </si>
  <si>
    <t>ABA601</t>
  </si>
  <si>
    <t xml:space="preserve">B.II.4.e)  Crediti v/Aziende sanitarie pubbliche della Regione - per Contributi da Aziende sanitarie pubbliche della Regione o Prov. Aut. (extra fondo) </t>
  </si>
  <si>
    <t>ABA610</t>
  </si>
  <si>
    <t>B.II.5) Crediti v/società partecipate e/o enti dipendenti della Regione</t>
  </si>
  <si>
    <t>ABA620</t>
  </si>
  <si>
    <t>B.II.5.a) Crediti v/enti regionali</t>
  </si>
  <si>
    <t>ABA630</t>
  </si>
  <si>
    <t>B.II.5.b) Crediti v/sperimentazioni gestionali</t>
  </si>
  <si>
    <t>ABA640</t>
  </si>
  <si>
    <t>B.II.5.c) Crediti v/altre partecipate</t>
  </si>
  <si>
    <t>ABA650</t>
  </si>
  <si>
    <t>B.II.6) Crediti v/Erario</t>
  </si>
  <si>
    <t>ABA660</t>
  </si>
  <si>
    <t>B.II.7) Crediti v/altri</t>
  </si>
  <si>
    <t>ABA670</t>
  </si>
  <si>
    <t>B.II.7.a) Crediti v/clienti privati</t>
  </si>
  <si>
    <t>ABA680</t>
  </si>
  <si>
    <t>B.II.7.b) Crediti v/gestioni liquidatorie</t>
  </si>
  <si>
    <t>ABA690</t>
  </si>
  <si>
    <t>B.II.7.c) Crediti v/altri soggetti pubblici</t>
  </si>
  <si>
    <t>ABA700</t>
  </si>
  <si>
    <t>B.II.7.d) Crediti v/altri soggetti pubblici per ricerca</t>
  </si>
  <si>
    <t>ABA710</t>
  </si>
  <si>
    <t>B.II.7.e) Altri crediti diversi</t>
  </si>
  <si>
    <t>ABA711</t>
  </si>
  <si>
    <t xml:space="preserve">B.II.7.e.1) Altri Crediti  diversi </t>
  </si>
  <si>
    <t>ABA712</t>
  </si>
  <si>
    <t>B.II.7.e.2) Note di credito da emettere (diverse)</t>
  </si>
  <si>
    <t>ABA713</t>
  </si>
  <si>
    <t>B.II.7.f) Altri Crediti verso erogatori (privati accreditati e convenzionati) di prestazioni sanitarie</t>
  </si>
  <si>
    <t>ABA714</t>
  </si>
  <si>
    <t>B.II.7.f.1) Altri Crediti verso erogatori (privati accreditati e convenzionati) di prestazioni sanitarie</t>
  </si>
  <si>
    <t>ABA715</t>
  </si>
  <si>
    <t>B.II.7.f.2) Note di credito da emettere  (privati accreditati e convenzionati)</t>
  </si>
  <si>
    <t>ABA720</t>
  </si>
  <si>
    <t>B.III) ATTIVITA' FINANZIARIE CHE NON COSTITUISCONO IMMOBILIZZAZIONI</t>
  </si>
  <si>
    <t>ABA730</t>
  </si>
  <si>
    <t>B.III.1) Partecipazioni che non costituiscono immobilizzazioni</t>
  </si>
  <si>
    <t>ABA740</t>
  </si>
  <si>
    <t>B.III.2) Altri titoli che non costituiscono immobilizzazioni</t>
  </si>
  <si>
    <t>ABA750</t>
  </si>
  <si>
    <t>B.IV) DISPONIBILITA' LIQUIDE</t>
  </si>
  <si>
    <t>ABA760</t>
  </si>
  <si>
    <t>B.IV.1) Cassa</t>
  </si>
  <si>
    <t>ABA770</t>
  </si>
  <si>
    <t>B.IV.2) Istituto Tesoriere</t>
  </si>
  <si>
    <t>ABA780</t>
  </si>
  <si>
    <t>B.IV.3) Tesoreria Unica</t>
  </si>
  <si>
    <t>ABA790</t>
  </si>
  <si>
    <t>B.IV.4) Conto corrente postale</t>
  </si>
  <si>
    <t>ACZ999</t>
  </si>
  <si>
    <t>C) RATEI E RISCONTI ATTIVI</t>
  </si>
  <si>
    <t>ACA000</t>
  </si>
  <si>
    <t>C.I) RATEI ATTIVI</t>
  </si>
  <si>
    <t>ACA010</t>
  </si>
  <si>
    <t>C.I.1) Ratei attivi</t>
  </si>
  <si>
    <t>ACA020</t>
  </si>
  <si>
    <t>C.I.2) Ratei attivi v/Aziende sanitarie pubbliche della Regione</t>
  </si>
  <si>
    <t>ACA030</t>
  </si>
  <si>
    <t>C.II) RISCONTI ATTIVI</t>
  </si>
  <si>
    <t>ACA040</t>
  </si>
  <si>
    <t>C.II.1) Risconti attivi</t>
  </si>
  <si>
    <t>ACA050</t>
  </si>
  <si>
    <t>C.II.2) Risconti attivi v/Aziende sanitarie pubbliche della Regione</t>
  </si>
  <si>
    <t>AZZ999</t>
  </si>
  <si>
    <t>D) TOTALE ATTIVO</t>
  </si>
  <si>
    <t>ADZ999</t>
  </si>
  <si>
    <t>E) CONTI D'ORDINE</t>
  </si>
  <si>
    <t>ADA000</t>
  </si>
  <si>
    <t>E.I) CANONI DI LEASING ANCORA DA PAGARE</t>
  </si>
  <si>
    <t>ADA010</t>
  </si>
  <si>
    <t>E.II) DEPOSITI CAUZIONALI</t>
  </si>
  <si>
    <t>ADA020</t>
  </si>
  <si>
    <t>E.III) BENI IN COMODATO</t>
  </si>
  <si>
    <t>ADA021</t>
  </si>
  <si>
    <t>E.IV) CANONI DI PROJECT FINANCING ANCORA DA PAGARE</t>
  </si>
  <si>
    <t>ADA030</t>
  </si>
  <si>
    <t>E.V) ALTRI CONTI D'ORDINE</t>
  </si>
  <si>
    <t>PAZ999</t>
  </si>
  <si>
    <t>A) PATRIMONIO NETTO</t>
  </si>
  <si>
    <t>PAA000</t>
  </si>
  <si>
    <t>A.I) FONDO DI DOTAZIONE</t>
  </si>
  <si>
    <t>PAA010</t>
  </si>
  <si>
    <t>A.II) FINANZIAMENTI PER INVESTIMENTI</t>
  </si>
  <si>
    <t>PAA020</t>
  </si>
  <si>
    <t>A.II.1) Finanziamenti per beni di prima dotazione</t>
  </si>
  <si>
    <t>PAA030</t>
  </si>
  <si>
    <t>A.II.2) Finanziamenti da Stato per investimenti</t>
  </si>
  <si>
    <t>PAA040</t>
  </si>
  <si>
    <t>A.II.2.a) Finanziamenti da Stato per investimenti - ex art. 20 legge 67/88</t>
  </si>
  <si>
    <t>PAA050</t>
  </si>
  <si>
    <t>A.II.2.b) Finanziamenti da Stato per investimenti - ricerca</t>
  </si>
  <si>
    <t>PAA060</t>
  </si>
  <si>
    <t>A.II.2.c) Finanziamenti da Stato per investimenti - altro</t>
  </si>
  <si>
    <t>PAA070</t>
  </si>
  <si>
    <t>A.II.3) Finanziamenti da Regione per investimenti</t>
  </si>
  <si>
    <t>PAA080</t>
  </si>
  <si>
    <t>A.II.4) Finanziamenti da altri soggetti pubblici per investimenti</t>
  </si>
  <si>
    <t>PAA090</t>
  </si>
  <si>
    <t>A.II.5) Finanziamenti per investimenti da rettifica contributi in conto esercizio</t>
  </si>
  <si>
    <t>PAA100</t>
  </si>
  <si>
    <t>A.III) RISERVE DA DONAZIONI E LASCITI VINCOLATI AD INVESTIMENTI</t>
  </si>
  <si>
    <t>PAA110</t>
  </si>
  <si>
    <t>A.IV) ALTRE RISERVE</t>
  </si>
  <si>
    <t>PAA120</t>
  </si>
  <si>
    <t>A.IV.1) Riserve da rivalutazioni</t>
  </si>
  <si>
    <t>PAA130</t>
  </si>
  <si>
    <t>A.IV.2) Riserve da plusvalenze da reinvestire</t>
  </si>
  <si>
    <t>PAA140</t>
  </si>
  <si>
    <t>A.IV.3) Contributi da reinvestire</t>
  </si>
  <si>
    <t>PAA150</t>
  </si>
  <si>
    <t>A.IV.4) Riserve da utili di esercizio destinati ad investimenti</t>
  </si>
  <si>
    <t>PAA160</t>
  </si>
  <si>
    <t>A.IV.5) Riserve diverse</t>
  </si>
  <si>
    <t>PAA170</t>
  </si>
  <si>
    <t>A.V) CONTRIBUTI PER RIPIANO PERDITE</t>
  </si>
  <si>
    <t>PAA180</t>
  </si>
  <si>
    <t>A.V.1) Contributi per copertura debiti al 31/12/2005</t>
  </si>
  <si>
    <t>PAA190</t>
  </si>
  <si>
    <t>A.V.2) Contributi per ricostituzione risorse da investimenti esercizi precedenti</t>
  </si>
  <si>
    <t>PAA200</t>
  </si>
  <si>
    <t>A.V.3) Altro</t>
  </si>
  <si>
    <t>PAA210</t>
  </si>
  <si>
    <t>A.VI) UTILI (PERDITE) PORTATI A NUOVO</t>
  </si>
  <si>
    <t>PAA220</t>
  </si>
  <si>
    <t>A.VII) UTILE (PERDITA) D'ESERCIZIO</t>
  </si>
  <si>
    <t>PBZ999</t>
  </si>
  <si>
    <t>B) FONDI PER RISCHI E ONERI</t>
  </si>
  <si>
    <t>PBA000</t>
  </si>
  <si>
    <t>B.I) FONDI PER IMPOSTE, ANCHE DIFFERITE</t>
  </si>
  <si>
    <t>PBA010</t>
  </si>
  <si>
    <t>B.II) FONDI PER RISCHI</t>
  </si>
  <si>
    <t>PBA020</t>
  </si>
  <si>
    <t>B.II.1) Fondo rischi per cause civili ed oneri processuali</t>
  </si>
  <si>
    <t>PBA030</t>
  </si>
  <si>
    <t>B.II.2) Fondo rischi per contenzioso personale dipendente</t>
  </si>
  <si>
    <t>PBA040</t>
  </si>
  <si>
    <t>B.II.3) Fondo rischi connessi all'acquisto di prestazioni sanitarie da privato</t>
  </si>
  <si>
    <t>PBA050</t>
  </si>
  <si>
    <t>B.II.4) Fondo rischi per copertura diretta dei rischi (autoassicurazione)</t>
  </si>
  <si>
    <t>PBA051</t>
  </si>
  <si>
    <t>B.II.5) Fondo rischi per franchigia assicurativa</t>
  </si>
  <si>
    <t>PBA052</t>
  </si>
  <si>
    <t>B.II.6) Fondo rischi per interessi di mora</t>
  </si>
  <si>
    <t>PBA060</t>
  </si>
  <si>
    <t>B.II.7) Altri fondi rischi</t>
  </si>
  <si>
    <t>PBA070</t>
  </si>
  <si>
    <t>B.III) FONDI DA DISTRIBUIRE</t>
  </si>
  <si>
    <t>PBA080</t>
  </si>
  <si>
    <t>B.III.1) FSR indistinto da distribuire</t>
  </si>
  <si>
    <t>PBA090</t>
  </si>
  <si>
    <t>B.III.2) FSR vincolato da distribuire</t>
  </si>
  <si>
    <t>PBA100</t>
  </si>
  <si>
    <t>B.III.3) Fondo per ripiano disavanzi pregressi</t>
  </si>
  <si>
    <t>PBA110</t>
  </si>
  <si>
    <t>B.III.4) Fondo finanziamento sanitario aggiuntivo corrente LEA</t>
  </si>
  <si>
    <t>PBA120</t>
  </si>
  <si>
    <t>B.III.5) Fondo finanziamento sanitario aggiuntivo corrente extra LEA</t>
  </si>
  <si>
    <t>PBA130</t>
  </si>
  <si>
    <t>B.III.6) Fondo finanziamento per ricerca</t>
  </si>
  <si>
    <t>PBA140</t>
  </si>
  <si>
    <t>B.III.7) Fondo finanziamento per investimenti</t>
  </si>
  <si>
    <t>PBA141</t>
  </si>
  <si>
    <t>B.III.8) Fondo finanziamento sanitario aggiuntivo corrente (extra fondo) - Risorse aggiuntive da bilancio regionale a titolo di copertura extra LEA</t>
  </si>
  <si>
    <t>PBA150</t>
  </si>
  <si>
    <t>B.IV) QUOTE INUTILIZZATE CONTRIBUTI</t>
  </si>
  <si>
    <t>PBA151</t>
  </si>
  <si>
    <t>B.IV.1) Quote inutilizzate contributi da Regione o Prov. Aut. per quota F.S. indistinto finalizzato</t>
  </si>
  <si>
    <t>PBA160</t>
  </si>
  <si>
    <t>B.IV.2) Quote inutilizzate contributi da Regione o Prov. Aut. per quota F.S. vincolato</t>
  </si>
  <si>
    <t>PBA170</t>
  </si>
  <si>
    <t>B.IV.3) Quote inutilizzate contributi vincolati da soggetti pubblici (extra fondo)</t>
  </si>
  <si>
    <t>PBA180</t>
  </si>
  <si>
    <t>B.IV.4) Quote inutilizzate contributi per ricerca</t>
  </si>
  <si>
    <t>PBA190</t>
  </si>
  <si>
    <t>B.IV.5) Quote inutilizzate contributi vincolati da privati</t>
  </si>
  <si>
    <t>PBA200</t>
  </si>
  <si>
    <t>B.V) ALTRI FONDI PER ONERI E SPESE</t>
  </si>
  <si>
    <t>PBA210</t>
  </si>
  <si>
    <t>B.V.1) Fondi integrativi pensione</t>
  </si>
  <si>
    <t>PBA220</t>
  </si>
  <si>
    <t>B.V.2) Fondi rinnovi contrattuali</t>
  </si>
  <si>
    <t>PBA230</t>
  </si>
  <si>
    <t xml:space="preserve">B.V.2.a) Fondo rinnovi contrattuali personale dipendente </t>
  </si>
  <si>
    <t>PBA240</t>
  </si>
  <si>
    <t>B.V.2.b) Fondo rinnovi convenzioni MMG/PLS/MCA</t>
  </si>
  <si>
    <t>PBA250</t>
  </si>
  <si>
    <t>B.V.2.c) Fondo rinnovi convenzioni medici Sumai</t>
  </si>
  <si>
    <t>PBA260</t>
  </si>
  <si>
    <t>B.V.3) Altri fondi per oneri e spese</t>
  </si>
  <si>
    <t>PBA270</t>
  </si>
  <si>
    <t>B.V.4) Altri Fondi incentivi funzioni tecniche Art. 113 D.Lgs 50/2016</t>
  </si>
  <si>
    <t>PCZ999</t>
  </si>
  <si>
    <t>C) TRATTAMENTO FINE RAPPORTO</t>
  </si>
  <si>
    <t>PCA000</t>
  </si>
  <si>
    <t>C.I) FONDO PER PREMI OPEROSITA' MEDICI SUMAI</t>
  </si>
  <si>
    <t>PCA010</t>
  </si>
  <si>
    <t>C.II) FONDO PER TRATTAMENTO DI FINE RAPPORTO DIPENDENTI</t>
  </si>
  <si>
    <t>PCA020</t>
  </si>
  <si>
    <t>C.III) FONDO PER TRATTAMENTI DI QUIESCENZA E SIMILI</t>
  </si>
  <si>
    <t>PDZ999</t>
  </si>
  <si>
    <t>D) DEBITI</t>
  </si>
  <si>
    <t>PDA000</t>
  </si>
  <si>
    <t>D.I) DEBITI PER MUTUI PASSIVI</t>
  </si>
  <si>
    <t>PDA010</t>
  </si>
  <si>
    <t>D.II) DEBITI V/STATO</t>
  </si>
  <si>
    <t>PDA020</t>
  </si>
  <si>
    <t>D.II.1) Debiti v/Stato per mobilità passiva extraregionale</t>
  </si>
  <si>
    <t>PDA030</t>
  </si>
  <si>
    <t>D.II.2) Debiti v/Stato per mobilità passiva internazionale</t>
  </si>
  <si>
    <t>PDA040</t>
  </si>
  <si>
    <t>D.II.3) Acconto quota FSR v/Stato</t>
  </si>
  <si>
    <t>PDA050</t>
  </si>
  <si>
    <t>D.II.4) Debiti v/Stato per restituzione finanziamenti - per ricerca</t>
  </si>
  <si>
    <t>PDA060</t>
  </si>
  <si>
    <t>D.II.5) Altri debiti v/Stato</t>
  </si>
  <si>
    <t>PDA070</t>
  </si>
  <si>
    <t>D.III) DEBITI V/REGIONE O PROVINCIA AUTONOMA</t>
  </si>
  <si>
    <t>PDA080</t>
  </si>
  <si>
    <t>D.III.1) Debiti v/Regione o Provincia Autonoma per finanziamenti - GSA</t>
  </si>
  <si>
    <t>PDA081</t>
  </si>
  <si>
    <t>D.III.2) Debiti v/Regione o Provincia Autonoma per finanziamenti</t>
  </si>
  <si>
    <t>PDA090</t>
  </si>
  <si>
    <t>D.III.3) Debiti v/Regione o Provincia Autonoma per mobilità passiva intraregionale</t>
  </si>
  <si>
    <t>PDA100</t>
  </si>
  <si>
    <t>D.III.4) Debiti v/Regione o Provincia Autonoma per mobilità passiva extraregionale</t>
  </si>
  <si>
    <t>PDA101</t>
  </si>
  <si>
    <t>D.III.5) Debiti v/Regione o Provincia Autonoma per mobilità passiva internazionale</t>
  </si>
  <si>
    <t>PDA110</t>
  </si>
  <si>
    <t>D.III.6) Acconto quota FSR da Regione o Provincia Autonoma</t>
  </si>
  <si>
    <t>PDA111</t>
  </si>
  <si>
    <t>D.III.7) Acconto da Regione o Provincia Autonoma per anticipazione ripiano disavanzo programmato dai Piani aziendali di cui all'art. 1, comma 528, L. 208/2015</t>
  </si>
  <si>
    <t>PDA112</t>
  </si>
  <si>
    <t xml:space="preserve">D.III.8) Debiti v/Regione o Provincia Autonoma per contributi L. 210/92 </t>
  </si>
  <si>
    <t>PDA120</t>
  </si>
  <si>
    <t>D.III.9) Altri debiti v/Regione o Provincia Autonoma – GSA</t>
  </si>
  <si>
    <t>PDA121</t>
  </si>
  <si>
    <t>D.III.10) Altri debiti v/Regione o Provincia Autonoma</t>
  </si>
  <si>
    <t>PDA130</t>
  </si>
  <si>
    <t>D.IV) DEBITI V/COMUNI</t>
  </si>
  <si>
    <t>PDA140</t>
  </si>
  <si>
    <t>D.V) DEBITI V/AZIENDE SANITARIE PUBBLICHE</t>
  </si>
  <si>
    <t>PDA150</t>
  </si>
  <si>
    <t>D.V.1) Debiti v/Aziende sanitarie pubbliche della Regione</t>
  </si>
  <si>
    <t>PDA160</t>
  </si>
  <si>
    <t>D.V.1.a) Debiti v/Aziende sanitarie pubbliche della Regione - per quota FSR</t>
  </si>
  <si>
    <t>PDA170</t>
  </si>
  <si>
    <t>D.V.1.b) Debiti v/Aziende sanitarie pubbliche della Regione - per finanziamento sanitario aggiuntivo corrente LEA</t>
  </si>
  <si>
    <t>PDA180</t>
  </si>
  <si>
    <t>D.V.1.c) Debiti v/Aziende sanitarie pubbliche della Regione - per finanziamento sanitario aggiuntivo corrente extra LEA</t>
  </si>
  <si>
    <t>PDA190</t>
  </si>
  <si>
    <t>D.V.1.d) Debiti v/Aziende sanitarie pubbliche della Regione - per mobilità in compensazione</t>
  </si>
  <si>
    <t>PDA200</t>
  </si>
  <si>
    <t>D.V.1.e) Debiti v/Aziende sanitarie pubbliche della Regione - per mobilità non in compensazione</t>
  </si>
  <si>
    <t>PDA210</t>
  </si>
  <si>
    <t>D.V.1.f) Debiti v/Aziende sanitarie pubbliche della Regione - per altre prestazioni</t>
  </si>
  <si>
    <t>PDA211</t>
  </si>
  <si>
    <t>D.V.1.g) Debiti v/Aziende sanitarie pubbliche della Regione - altre prestazioni per STP</t>
  </si>
  <si>
    <t>PDA212</t>
  </si>
  <si>
    <t xml:space="preserve">D.V.1.h)  Debiti v/Aziende sanitarie pubbliche della Regione - per Contributi da Aziende sanitarie pubbliche della Regione o Prov. Aut. (extra fondo) </t>
  </si>
  <si>
    <t>PDA213</t>
  </si>
  <si>
    <t xml:space="preserve">D.V.1.i) Debiti v/Aziende sanitarie pubbliche della Regione - per contributi L. 210/92 </t>
  </si>
  <si>
    <t>PDA220</t>
  </si>
  <si>
    <t xml:space="preserve">D.V.2) Debiti v/Aziende sanitarie pubbliche Extraregione </t>
  </si>
  <si>
    <t>PDA230</t>
  </si>
  <si>
    <t>D.V.3) Debiti v/Aziende sanitarie pubbliche della Regione per versamenti c/patrimonio netto</t>
  </si>
  <si>
    <t>PDA231</t>
  </si>
  <si>
    <t>D.V.3.a) Debiti v/Aziende sanitarie pubbliche della Regione per versamenti c/patrimonio netto - finanziamenti per investimenti</t>
  </si>
  <si>
    <t>PDA232</t>
  </si>
  <si>
    <t>D.V.3.b) Debiti v/Aziende sanitarie pubbliche della Regione per versamenti c/patrimonio netto - incremento fondo dotazione</t>
  </si>
  <si>
    <t>PDA233</t>
  </si>
  <si>
    <t>D.V.3.c) Debiti v/Aziende sanitarie pubbliche della Regione per versamenti c/patrimonio netto - ripiano perdite</t>
  </si>
  <si>
    <t>PDA234</t>
  </si>
  <si>
    <t>D.V.3.d) Debiti v/Aziende sanitarie pubbliche della Regione per anticipazione ripiano disavanzo programmato dai Piani aziendali di cui all'art. 1, comma 528, L. 208/2015</t>
  </si>
  <si>
    <t>PDA235</t>
  </si>
  <si>
    <t>D.V.3.e) Debiti v/Aziende sanitarie pubbliche della Regione per versamenti c/patrimonio netto - altro</t>
  </si>
  <si>
    <t>PDA240</t>
  </si>
  <si>
    <t>D.VI) DEBITI V/ SOCIETA' PARTECIPATE E/O ENTI DIPENDENTI DELLA REGIONE</t>
  </si>
  <si>
    <t>PDA250</t>
  </si>
  <si>
    <t>D.VI.1) Debiti v/enti regionali</t>
  </si>
  <si>
    <t>PDA260</t>
  </si>
  <si>
    <t>D.VI.2) Debiti v/sperimentazioni gestionali</t>
  </si>
  <si>
    <t>PDA270</t>
  </si>
  <si>
    <t>D.VI.3) Debiti v/altre partecipate</t>
  </si>
  <si>
    <t>PDA280</t>
  </si>
  <si>
    <t>D.VII) DEBITI V/FORNITORI</t>
  </si>
  <si>
    <t>PDA290</t>
  </si>
  <si>
    <t xml:space="preserve">D.VII.1) Debiti verso erogatori (privati accreditati e convenzionati) di prestazioni sanitarie </t>
  </si>
  <si>
    <t>PDA291</t>
  </si>
  <si>
    <t xml:space="preserve">D.VII.1.a) Debiti verso erogatori (privati accreditati e convenzionati) di prestazioni sanitarie </t>
  </si>
  <si>
    <t>PDA292</t>
  </si>
  <si>
    <t>D.VII.1.b) Note di credito da ricevere (privati accreditati e convenzionati)</t>
  </si>
  <si>
    <t>PDA300</t>
  </si>
  <si>
    <t>D.VII.2) Debiti verso altri fornitori</t>
  </si>
  <si>
    <t>PDA301</t>
  </si>
  <si>
    <t>D.VII.2.a) Debiti verso altri fornitori</t>
  </si>
  <si>
    <t>PDA302</t>
  </si>
  <si>
    <t>D.VII.2.b) Note di credito da ricevere (altri fornitori)</t>
  </si>
  <si>
    <t>PDA310</t>
  </si>
  <si>
    <t>D.VIII) DEBITI V/ISTITUTO TESORIERE</t>
  </si>
  <si>
    <t>PDA320</t>
  </si>
  <si>
    <t>D.IX) DEBITI TRIBUTARI</t>
  </si>
  <si>
    <t>PDA330</t>
  </si>
  <si>
    <t>D.X) DEBITI V/ISTITUTI PREVIDENZIALI, ASSISTENZIALI E SICUREZZA SOCIALE</t>
  </si>
  <si>
    <t>PDA340</t>
  </si>
  <si>
    <t>D.XI) DEBITI V/ALTRI</t>
  </si>
  <si>
    <t>PDA350</t>
  </si>
  <si>
    <t>D.XI.1) Debiti v/altri finanziatori</t>
  </si>
  <si>
    <t>PDA360</t>
  </si>
  <si>
    <t>D.XI.2) Debiti v/dipendenti</t>
  </si>
  <si>
    <t>PDA370</t>
  </si>
  <si>
    <t>D.XI.3) Debiti v/gestioni liquidatorie</t>
  </si>
  <si>
    <t>PDA380</t>
  </si>
  <si>
    <t>D.XI.4) Altri debiti diversi</t>
  </si>
  <si>
    <t>PEZ999</t>
  </si>
  <si>
    <t>E) RATEI E RISCONTI PASSIVI</t>
  </si>
  <si>
    <t>PEA000</t>
  </si>
  <si>
    <t>E.I) RATEI PASSIVI</t>
  </si>
  <si>
    <t>PEA010</t>
  </si>
  <si>
    <t>E.I.1) Ratei passivi</t>
  </si>
  <si>
    <t>PEA020</t>
  </si>
  <si>
    <t>E.I.2) Ratei passivi v/Aziende sanitarie pubbliche della Regione</t>
  </si>
  <si>
    <t>PEA030</t>
  </si>
  <si>
    <t>E.II) RISCONTI PASSIVI</t>
  </si>
  <si>
    <t>PEA040</t>
  </si>
  <si>
    <t>E.II.1) Risconti passivi</t>
  </si>
  <si>
    <t>PEA050</t>
  </si>
  <si>
    <t>E.II.2) Risconti passivi v/Aziende sanitarie pubbliche della Regione</t>
  </si>
  <si>
    <t>PEA060</t>
  </si>
  <si>
    <t>E.II.3) Risconti passivi - in attuazione dell’art.79, comma 1 sexies lettera c), del D.L. 112/2008, convertito con legge 133/2008 e della legge 23 dicembre 2009 n. 191</t>
  </si>
  <si>
    <t>PZZ999</t>
  </si>
  <si>
    <t>F) TOTALE PASSIVO E PATRIMONIO NETTO</t>
  </si>
  <si>
    <t>PFZ999</t>
  </si>
  <si>
    <t>G) CONTI D'ORDINE</t>
  </si>
  <si>
    <t>PFA000</t>
  </si>
  <si>
    <t>G.I) CANONI DI LEASING ANCORA DA PAGARE</t>
  </si>
  <si>
    <t>PFA010</t>
  </si>
  <si>
    <t>G.II) DEPOSITI CAUZIONALI</t>
  </si>
  <si>
    <t>PFA020</t>
  </si>
  <si>
    <t>G.III) BENI IN COMODATO</t>
  </si>
  <si>
    <t>PFA021</t>
  </si>
  <si>
    <t>G.IV) CANONI DI PROJECT FINANCING ANCORA DA PAGARE</t>
  </si>
  <si>
    <t>PFA030</t>
  </si>
  <si>
    <t>G.V) ALTRI CONTI D'ORDINE</t>
  </si>
  <si>
    <t>Stato Patrimoniale Attivo</t>
  </si>
  <si>
    <t>CODICE VOCE 
SP Ministeriale</t>
  </si>
  <si>
    <t>IMMOBILIZZAZIONI IMMATERIALI</t>
  </si>
  <si>
    <t>Costi di impianto e di ampliamento</t>
  </si>
  <si>
    <t>Costi di ricerca e sviluppo</t>
  </si>
  <si>
    <t>Diritti di brevetto e diritti di utilizzazione delle opere d'ingegno</t>
  </si>
  <si>
    <t>Diritti di brevetto e diritti di utilizzazione delle opere d'ingegno - derivanti dall'attività di ricerca</t>
  </si>
  <si>
    <t>Diritti di brevetto e diritti di utilizzazione delle opere d'ingegno - altri</t>
  </si>
  <si>
    <t>Concessioni, licenze, marchi e diritti simili</t>
  </si>
  <si>
    <t>Migliorie su beni di terzi</t>
  </si>
  <si>
    <t>Pubblicità</t>
  </si>
  <si>
    <t>IMMOBILIZZAZIONI MATERIALI</t>
  </si>
  <si>
    <t>IMMOBILIZZAZIONI FINANZIARIE</t>
  </si>
  <si>
    <t>per contributi in conto capitale su gestioni pregresse (ASSR e altri)</t>
  </si>
  <si>
    <t>per contributi in conto capitale su gestioni liquidatorie (ASSR e altri)</t>
  </si>
  <si>
    <t>Altri crediti (ASSR e altri)</t>
  </si>
  <si>
    <t>Titoli di Stato</t>
  </si>
  <si>
    <t>Altre Obbligazioni</t>
  </si>
  <si>
    <t>Titoli azionari quotati in Borsa</t>
  </si>
  <si>
    <t>Titoli diversi</t>
  </si>
  <si>
    <t>RIMANENZE</t>
  </si>
  <si>
    <t>Acconti per acquisto di beni e prodotti sanitari</t>
  </si>
  <si>
    <t>Materiali di guardaroba, di pulizia, e di convivenza in genere</t>
  </si>
  <si>
    <t>Acconti per acquisto di beni e prodotti non sanitari</t>
  </si>
  <si>
    <t xml:space="preserve">CREDITI </t>
  </si>
  <si>
    <t>Crediti v/Stato per spesa corrente - FSN indistinto</t>
  </si>
  <si>
    <t>Crediti v/Stato per spesa corrente - FSN vincolato</t>
  </si>
  <si>
    <t>Crediti v/Stato per mobilità attiva extraregionale</t>
  </si>
  <si>
    <t>Crediti v/Stato per mobilità attiva internazionale</t>
  </si>
  <si>
    <t>Crediti v/Stato per acconto quota fabbisogno sanitario regionale standard</t>
  </si>
  <si>
    <t>Crediti v/Stato per finanziamento sanitario aggiuntivo corrente</t>
  </si>
  <si>
    <t>Crediti v/Stato per spesa corrente - altro</t>
  </si>
  <si>
    <t>Crediti per fatture e ricevute da emettere</t>
  </si>
  <si>
    <t>Note credito da ricevere/note debito da emettere</t>
  </si>
  <si>
    <t>Crediti v/Stato per spesa corrente per STP (ex D.lgs. 286/98)</t>
  </si>
  <si>
    <t>Crediti v/Stato per finanziamenti per investimenti</t>
  </si>
  <si>
    <t>Crediti v/Stato per ricerca corrente - Ministero della Salute</t>
  </si>
  <si>
    <t>Crediti v/Stato per ricerca finalizzata - Ministero della Salute</t>
  </si>
  <si>
    <t>Crediti verso ministero dell'università</t>
  </si>
  <si>
    <t>Crediti verso ministero della difesa</t>
  </si>
  <si>
    <t xml:space="preserve">Crediti verso altre Amministrazioni centrali </t>
  </si>
  <si>
    <t>Crediti v/Stato per ricerca - finanziamenti per investimenti</t>
  </si>
  <si>
    <t>Crediti verso prefetture</t>
  </si>
  <si>
    <t>Note di credito da emettere</t>
  </si>
  <si>
    <t>Crediti v/Regione o Provincia Autonoma per quota FSR</t>
  </si>
  <si>
    <t>Crediti v/Regione o Provincia Autonoma per mobilità attiva intraregionale</t>
  </si>
  <si>
    <t>Crediti v/Regione o Provincia Autonoma per mobilità attiva extraregionale</t>
  </si>
  <si>
    <t>Crediti v/Regione o Provincia Autonoma per acconto quota FSR</t>
  </si>
  <si>
    <t>Crediti v/Regione o Provincia Autonoma per finanziamento sanitario aggiuntivo corrente LEA</t>
  </si>
  <si>
    <t>Crediti v/Regione o Provincia Autonoma per finanziamento sanitario aggiuntivo corrente extra LEA</t>
  </si>
  <si>
    <t>Crediti v/Regione o Provincia Autonoma per spesa corrente - altro</t>
  </si>
  <si>
    <t>Crediti v/Regione o Provincia Autonoma per spesa corrente - STP (ex D.lgs. 286/98)</t>
  </si>
  <si>
    <t>Crediti v/Regione o Provincia Autonoma per ricerca - vincolati a progetti europei</t>
  </si>
  <si>
    <t>Crediti v/Regione o Provincia Autonoma per ricerca -  vincolati a progetti ministeriali</t>
  </si>
  <si>
    <t>Crediti v/Regione o Provincia Autonoma per ricerca - quota regionale</t>
  </si>
  <si>
    <t>Crediti v/Regione o Provincia Autonoma per ricerca - Altro</t>
  </si>
  <si>
    <t>Crediti v/Regione o Provincia Autonoma per mobilità attiva internazionale</t>
  </si>
  <si>
    <t>Crediti v/Regione o Provincia Autonoma per versamenti a patrimonio netto</t>
  </si>
  <si>
    <t>Crediti v/Regione o Provincia Autonoma per finanziamenti per investimenti</t>
  </si>
  <si>
    <t>Crediti v/Regione o Provincia Autonoma per incremento fondo dotazione</t>
  </si>
  <si>
    <t>Crediti v/Regione o Provincia Autonoma per anticipazione ripiano disavanzo programmato dai Piani aziendali di cui all'art. 1, comma 528, L. 208/2015</t>
  </si>
  <si>
    <t>Crediti v/Regione per copertura debiti al 31/12/2005</t>
  </si>
  <si>
    <t xml:space="preserve"> Crediti v/Regione o Provincia Autonoma per contributi L. 210/92</t>
  </si>
  <si>
    <t>Crediti v/Regione o Provincia Autonoma per contributi L. 210/92 – aziende sanitarie</t>
  </si>
  <si>
    <t>Crediti v/comuni</t>
  </si>
  <si>
    <t>Crediti v/Aziende sanitarie pubbliche</t>
  </si>
  <si>
    <t>Crediti v/Aziende sanitarie pubbliche della Regione - per mobilità in compensazione</t>
  </si>
  <si>
    <t>Crediti v/Aziende sanitarie pubbliche della Regione - per mobilità non in compensazione</t>
  </si>
  <si>
    <t>Crediti v/Aziende sanitarie pubbliche della Regione - per altre prestazioni</t>
  </si>
  <si>
    <t xml:space="preserve"> Crediti v/Aziende sanitarie pubbliche della Regione - per altre prestazioni</t>
  </si>
  <si>
    <t>Acconto quota FSR da distribuire</t>
  </si>
  <si>
    <t xml:space="preserve"> Crediti v/Aziende sanitarie pubbliche della Regione per anticipazione ripiano disavanzo programmato dai Piani aziendali di cui all'art. 1, comma 528, L. 208/2015</t>
  </si>
  <si>
    <t>Crediti v/Aziende sanitarie pubbliche Extraregione</t>
  </si>
  <si>
    <t xml:space="preserve">Crediti v/Aziende sanitarie pubbliche della Regione - per Contributi da Aziende sanitarie pubbliche della Regione o Prov. Aut. (extra fondo) </t>
  </si>
  <si>
    <t>Crediti v/enti regionali</t>
  </si>
  <si>
    <t>Crediti v/sperimentazioni gestionali</t>
  </si>
  <si>
    <t>Crediti v/altre partecipate</t>
  </si>
  <si>
    <t>IVA a Credito</t>
  </si>
  <si>
    <t>IVA a Credito per acquisti Infra CEE</t>
  </si>
  <si>
    <t>IVA a Credito per autofatture</t>
  </si>
  <si>
    <t>Imposte varie</t>
  </si>
  <si>
    <t>Crediti v/clienti privati</t>
  </si>
  <si>
    <t>Privati paganti</t>
  </si>
  <si>
    <t>Crediti verso soggetti esteri</t>
  </si>
  <si>
    <t>Altri crediti v/clienti privati</t>
  </si>
  <si>
    <t>Crediti v/gestioni liquidatorie</t>
  </si>
  <si>
    <t>Crediti v/altri soggetti pubblici</t>
  </si>
  <si>
    <t>Crediti verso enti previdenziali per acconti pensione</t>
  </si>
  <si>
    <t>Crediti verso altre amministrazioni pubbliche</t>
  </si>
  <si>
    <t>Crediti v/altri soggetti pubblici per ricerca</t>
  </si>
  <si>
    <t>Altri crediti diversi</t>
  </si>
  <si>
    <t>Crediti verso dipendenti</t>
  </si>
  <si>
    <t>Acconti, anticipi a personale</t>
  </si>
  <si>
    <t>Altri crediti verso personale</t>
  </si>
  <si>
    <t>Acconti a farmacie</t>
  </si>
  <si>
    <t>Acconti a fornitori</t>
  </si>
  <si>
    <t>Note di credito da emettere (diversi)</t>
  </si>
  <si>
    <t>Altri Crediti verso erogatori (privati accreditati e convenzionati) di prestazioni sanitarie</t>
  </si>
  <si>
    <t>Note di credito da emettere  (privati accreditati e convenzionati)</t>
  </si>
  <si>
    <t>ATTIVITA' FINANZIARIE CHE NON COSTITUISCONO IMMOBILIZZAZIONI</t>
  </si>
  <si>
    <t>Partecipazioni in imprese controllate</t>
  </si>
  <si>
    <t>Partecipazioni in imprese collegate</t>
  </si>
  <si>
    <t>Partecipazioni in altre imprese</t>
  </si>
  <si>
    <t>DISPONIBILITA' LIQUIDE</t>
  </si>
  <si>
    <t>Cassa economale</t>
  </si>
  <si>
    <t>Cassa economale 1</t>
  </si>
  <si>
    <t>Cassa economale 2</t>
  </si>
  <si>
    <t>Cassa economale 3</t>
  </si>
  <si>
    <t>Cassa economale 4</t>
  </si>
  <si>
    <t>Cassa economale 5</t>
  </si>
  <si>
    <t>Cassa economale 6</t>
  </si>
  <si>
    <t>Cassa economale 7</t>
  </si>
  <si>
    <t>Cassa economale 8</t>
  </si>
  <si>
    <t>Cassa economale 9</t>
  </si>
  <si>
    <t>Cassa prestazioni</t>
  </si>
  <si>
    <t>Cassa prestazioni 1</t>
  </si>
  <si>
    <t>Cassa prestazioni 2</t>
  </si>
  <si>
    <t>Cassa prestazioni 3</t>
  </si>
  <si>
    <t>Cassa prestazioni 4</t>
  </si>
  <si>
    <t>Cassa prestazioni 5</t>
  </si>
  <si>
    <t>Cassa prestazioni 6</t>
  </si>
  <si>
    <t>Cassa prestazioni 7</t>
  </si>
  <si>
    <t>Cassa prestazioni 8</t>
  </si>
  <si>
    <t>c/c di tesoreria</t>
  </si>
  <si>
    <t>c/c di tesoreria - delega</t>
  </si>
  <si>
    <t>Interessi attivi da liquidare</t>
  </si>
  <si>
    <t>Conto corrente postale 1</t>
  </si>
  <si>
    <t>Conto corrente postale 2</t>
  </si>
  <si>
    <t>Conto corrente postale 3</t>
  </si>
  <si>
    <t>Conto corrente postale 4</t>
  </si>
  <si>
    <t>Deposito affrancatrice1</t>
  </si>
  <si>
    <t>Deposito affrancatrice2</t>
  </si>
  <si>
    <t>Deposito affrancatrice3</t>
  </si>
  <si>
    <t>Conti transitori</t>
  </si>
  <si>
    <t>Incassi c/transitorio</t>
  </si>
  <si>
    <t>Pagamenti c/transitorio</t>
  </si>
  <si>
    <t>Giroconti interni</t>
  </si>
  <si>
    <t>Giroconti note</t>
  </si>
  <si>
    <t>Giroconti cauzioni</t>
  </si>
  <si>
    <t>Giroconti documenti pagati</t>
  </si>
  <si>
    <t>Giroconti protocolli errati</t>
  </si>
  <si>
    <t>Giroconti ritenute personale dipendente</t>
  </si>
  <si>
    <t>Giroconti ritenute personale esterno</t>
  </si>
  <si>
    <t>Giroconti ritenute personale convenzionato</t>
  </si>
  <si>
    <t>Giroconti ritenute personale altro</t>
  </si>
  <si>
    <t>Giroconti c/c postale</t>
  </si>
  <si>
    <t>RATEI ATTIVI</t>
  </si>
  <si>
    <t>Ratei attivi v/Aziende sanitarie pubbliche della Regione</t>
  </si>
  <si>
    <t>RISCONTI ATTIVI</t>
  </si>
  <si>
    <t>Risconti attivi v/Aziende sanitarie pubbliche della Regione</t>
  </si>
  <si>
    <t>TOTALE ATTIVO</t>
  </si>
  <si>
    <t>CANONI DI LEASING ANCORA DA PAGARE</t>
  </si>
  <si>
    <t>DEPOSITI CAUZIONALI</t>
  </si>
  <si>
    <t>BENI IN COMODATO</t>
  </si>
  <si>
    <t>CANONI DI PROJECT FINANCING ANCORA DA PAGARE</t>
  </si>
  <si>
    <t>ALTRI CONTI D'ORDINE</t>
  </si>
  <si>
    <t>Canoni di leasing a scadere</t>
  </si>
  <si>
    <t>Beni di terzi presso l'Azienda</t>
  </si>
  <si>
    <t>Garanzie prestate (fideiussioni, avalli, altre garanzie personali e reali)</t>
  </si>
  <si>
    <t>Garanzie ricevute (fideiussioni, avalli, altre garanzie personali e reali)</t>
  </si>
  <si>
    <t>Beni in contenzioso</t>
  </si>
  <si>
    <t>Altri impegni assunti</t>
  </si>
  <si>
    <t>Stato Patrimoniale Passivo</t>
  </si>
  <si>
    <t>FONDO DI DOTAZIONE</t>
  </si>
  <si>
    <t>FINANZIAMENTI PER INVESTIMENTI</t>
  </si>
  <si>
    <t>Finanziamenti da Stato per investimenti - ricerca</t>
  </si>
  <si>
    <t>Finanziamenti da Stato per investimenti - altro</t>
  </si>
  <si>
    <t>Contributi regionali in c/capitale indistinti</t>
  </si>
  <si>
    <t>Contributi regionali in c/capitale vincolati</t>
  </si>
  <si>
    <t>Contributi per rimborso mutui</t>
  </si>
  <si>
    <t>Altri contributi</t>
  </si>
  <si>
    <t>RISERVE DA DONAZIONI E LASCITI VINCOLATI AD INVESTIMENTI</t>
  </si>
  <si>
    <t>ALTRE RISERVE</t>
  </si>
  <si>
    <t>Riserve da rivalutazioni</t>
  </si>
  <si>
    <t>Riserve da plusvalenze da reinvestire</t>
  </si>
  <si>
    <t>Contributi da reinvestire</t>
  </si>
  <si>
    <t>Riserve da utili di esercizio destinati ad investimenti</t>
  </si>
  <si>
    <t>Riserve diverse</t>
  </si>
  <si>
    <t>CONTRIBUTI PER RIPIANO PERDITE</t>
  </si>
  <si>
    <t>Contributi per copertura debiti al 31/12/2005</t>
  </si>
  <si>
    <r>
      <t>Contributi per ricostituzione risorse da investimenti esercizi precedenti</t>
    </r>
    <r>
      <rPr>
        <b/>
        <i/>
        <strike/>
        <sz val="10"/>
        <rFont val="Tahoma"/>
        <family val="2"/>
      </rPr>
      <t/>
    </r>
  </si>
  <si>
    <t>Altro</t>
  </si>
  <si>
    <t>UTILI (PERDITE) PORTATI A NUOVO</t>
  </si>
  <si>
    <t>UTILE (PERDITA) D'ESERCIZIO</t>
  </si>
  <si>
    <t>FONDI AMMORTAMENTO e FONDI SVALUTAZIONE</t>
  </si>
  <si>
    <t>FONDI AMMORTAMENTO IMMOBILIZZAZIONI IMMATERIALI</t>
  </si>
  <si>
    <t>F.do Amm.to costi di impianto e di ampliamento</t>
  </si>
  <si>
    <t>F.do Amm.to costi di ricerca e sviluppo</t>
  </si>
  <si>
    <t>F.do Amm.to diritti di brevetto e diritti di utilizzazione delle opere d'ingegno - derivanti dall'attività di ricerca</t>
  </si>
  <si>
    <t>F.do Amm.to diritti di brevetto e diritti di utilizzazione delle opere d'ingegno - altri</t>
  </si>
  <si>
    <t>F.do Amm.to concessioni, licenze, marchi e diritti simili</t>
  </si>
  <si>
    <t>F.do Amm.to migliorie su beni di terzi</t>
  </si>
  <si>
    <t>F.do Amm.to pubblicità</t>
  </si>
  <si>
    <t>F.do Amm.to altre immobilizzazioni immateriali</t>
  </si>
  <si>
    <t>FONDI AMMORTAMENTO IMMOBILIZZAZIONI MATERIALI</t>
  </si>
  <si>
    <t>F.do Amm.to Fabbricati non strumentali (disponibili)</t>
  </si>
  <si>
    <t>F.do Amm.to Fabbricati strumentali (indisponibili)</t>
  </si>
  <si>
    <t>F.do Amm.to Impianti e macchinari</t>
  </si>
  <si>
    <t>F.do Amm.to Attrezzature sanitarie e scientifiche</t>
  </si>
  <si>
    <t>F.do Amm.to Mobili e arredi</t>
  </si>
  <si>
    <t>F.do Amm.to Automezzi</t>
  </si>
  <si>
    <t>F.do Amm.to Altre immobilizzazioni materiali</t>
  </si>
  <si>
    <t>FONDI SVALUTAZIONE IMMOBILIZZAZIONI IMMATERIALI</t>
  </si>
  <si>
    <t>F.do Svalut. Costi di impianto e di ampliamento</t>
  </si>
  <si>
    <t>F.do Svalut. Costi di ricerca e sviluppo</t>
  </si>
  <si>
    <t>F.do Svalut. Diritti di brevetto e diritti di utilizzazione delle opere d'ingegno</t>
  </si>
  <si>
    <t>F.do Svalut. Altre immobilizzazioni immateriali</t>
  </si>
  <si>
    <t>FONDI SVALUTAZIONE IMMOBILIZZAZIONI MATERIALI</t>
  </si>
  <si>
    <t>F.do Svalut. Terreni disponibili</t>
  </si>
  <si>
    <t>F.do Svalut. Terreni indisponibili</t>
  </si>
  <si>
    <t>F.do Svalut. Fabbricati disponibili</t>
  </si>
  <si>
    <t>F.do Svalut. Fabbricati indisponibili</t>
  </si>
  <si>
    <t>F.do Svalut. Impianti e macchinari</t>
  </si>
  <si>
    <t>F.do Svalut. Attrezzature sanitarie e scientifiche</t>
  </si>
  <si>
    <t>F.do Svalut. Mobili e arredi</t>
  </si>
  <si>
    <t>F.do Svalut. Automezzi</t>
  </si>
  <si>
    <t>F.do Svalut. Oggetti d'arte</t>
  </si>
  <si>
    <t>F.do Svalut. Altre immobilizzazioni materiali</t>
  </si>
  <si>
    <t>FONDI SVALUTAZIONE CREDITI</t>
  </si>
  <si>
    <t>Fondo svalutazione Crediti finanziari v/Stato</t>
  </si>
  <si>
    <t>Fondo svalutazione Crediti finanziari v/Regione</t>
  </si>
  <si>
    <t>Fondo svalutazione Crediti finanziari v/partecipate</t>
  </si>
  <si>
    <t>Fondo svalutazione Crediti finanziari v/altri</t>
  </si>
  <si>
    <t>Fondo Svalutazione Crediti v/Stato per spesa corrente - FSN indistinto</t>
  </si>
  <si>
    <t>Fondo Svalutazione Crediti v/Stato per spesa corrente - FSN vincolato</t>
  </si>
  <si>
    <t>Fondo Svalutazione Crediti v/Stato per mobilità attiva extraregionale</t>
  </si>
  <si>
    <t>Fondo Svalutazione Crediti v/Stato per mobilità attiva internazionale</t>
  </si>
  <si>
    <t>Fondo Svalutazione Crediti v/Stato per acconto quota fabbisogno sanitario regionale standard</t>
  </si>
  <si>
    <t>Fondo Svalutazione Crediti v/Stato per finanziamento sanitario aggiuntivo corrente</t>
  </si>
  <si>
    <t>Fondo Svalutazione  Crediti v/Stato per spesa corrente - altro</t>
  </si>
  <si>
    <t>Fondo Svalutazione Crediti v/Stato per spesa corrente per STP (ex D.lgs. 286/98)</t>
  </si>
  <si>
    <t>Fondo Svalutazione Crediti v/Stato per finanziamenti per investimenti</t>
  </si>
  <si>
    <t>Fondo Svalutazione Crediti v/Stato per ricerca corrente - Ministero della Salute</t>
  </si>
  <si>
    <t>Fondo Svalutazione Crediti v/Stato per ricerca finalizzata - Ministero della Salute</t>
  </si>
  <si>
    <t xml:space="preserve">Fondo Svalutazione Crediti v/Stato per ricerca - altre Amministrazioni centrali </t>
  </si>
  <si>
    <t>Fondo Svalutazione Crediti v/Stato per ricerca - finanziamenti per investimenti</t>
  </si>
  <si>
    <t>Fondo Svalutazione Crediti v/prefetture</t>
  </si>
  <si>
    <t>Fondo Svalutazione Crediti v/Regione o Provincia Autonoma per quota FSR</t>
  </si>
  <si>
    <t>Fondo Svalutazione  Crediti v/Regione o Provincia Autonoma per mobilità attiva intraregionale</t>
  </si>
  <si>
    <t>Fondo Svalutazione  Crediti v/Regione o Provincia Autonoma per mobilità attiva extraregionale</t>
  </si>
  <si>
    <t>Fondo Svalutazione  Crediti v/Regione o Provincia Autonoma per acconto quota FSR</t>
  </si>
  <si>
    <t>Fondo Svalutazione Crediti v/Regione o Provincia Autonoma per finanziamento sanitario aggiuntivo corrente LEA</t>
  </si>
  <si>
    <t>Fondo Svalutazione  Crediti v/Regione o Provincia Autonoma per finanziamento sanitario aggiuntivo corrente extra LEA</t>
  </si>
  <si>
    <t>Fondo Svalutazione  Crediti v/Regione o Provincia Autonoma per spesa corrente - altro</t>
  </si>
  <si>
    <t>Fondo Svalutazione Crediti v/Regione o Provincia Autonoma per spesa corrente - STP (ex D.lgs. 286/98)</t>
  </si>
  <si>
    <t>Fondo Svalutazione Crediti v/Regione o Provincia Autonoma per ricerca</t>
  </si>
  <si>
    <t>Fondo Svalutazione Crediti v/Regione o Provincia Autonoma per mobilità attiva internazionale</t>
  </si>
  <si>
    <t>Fondo Svalutazione Crediti v/Regione o Provincia Autonoma per finanziamenti per investimenti</t>
  </si>
  <si>
    <t>Fondo Svalutazione Crediti v/Regione o Provincia Autonoma per incremento fondo dotazione</t>
  </si>
  <si>
    <t>Fondo Svalutazione Crediti v/Regione o Provincia Autonoma per ripiano perdite</t>
  </si>
  <si>
    <t>Fondo Svalutazione Crediti v/Regione per copertura debiti al 31/12/2005</t>
  </si>
  <si>
    <t>Fondo Svalutazione Crediti v/Regione o Provincia Autonoma per ricostituzione risorse da investimenti esercizi precedenti</t>
  </si>
  <si>
    <t>Fondo Svalutazione Crediti v/Comuni</t>
  </si>
  <si>
    <t>Fondo Svalutazione Crediti v/Aziende sanitarie pubbliche Extraregione</t>
  </si>
  <si>
    <t>Fondo Svalutazione Crediti v/enti regionali</t>
  </si>
  <si>
    <t>Fondo Svalutazione Crediti v/sperimentazioni gestionali</t>
  </si>
  <si>
    <t>Fondo Svalutazione Crediti v/altre partecipate</t>
  </si>
  <si>
    <t>Fondo Svalutazione Crediti v/Erario</t>
  </si>
  <si>
    <t>Fondo Svalutazione Crediti v/clienti privati</t>
  </si>
  <si>
    <t>Fondo Svalutazione Crediti v/gestioni liquidatorie</t>
  </si>
  <si>
    <t>Fondo Svalutazione Crediti v/altri soggetti pubblici</t>
  </si>
  <si>
    <t>Fondo Svalutazione Crediti v/altri soggetti pubblici per ricerca</t>
  </si>
  <si>
    <t>Fondo Svalutazione Altri crediti diversi</t>
  </si>
  <si>
    <t>Fondo Svalutazione  Altri Crediti verso erogatori (privati accreditati e convenzionati) di prestazioni sanitarie</t>
  </si>
  <si>
    <t>FONDI PER IMPOSTE, ANCHE DIFFERITE</t>
  </si>
  <si>
    <t>FONDI PER RISCHI</t>
  </si>
  <si>
    <t>Fondo rischi per cause civili ed oneri processuali</t>
  </si>
  <si>
    <t>Fondo rischi per contenzioso personale dipendente</t>
  </si>
  <si>
    <t>Fondo rischi connessi all'acquisto di prestazioni sanitarie da privato</t>
  </si>
  <si>
    <t>Fondo rischi per copertura diretta dei rischi (autoassicurazione)</t>
  </si>
  <si>
    <t>Fondo rischi per interessi di mora</t>
  </si>
  <si>
    <t>Altri fondi rischi</t>
  </si>
  <si>
    <t>Fondo equo indennizzo</t>
  </si>
  <si>
    <t>Fondo accordi bonari</t>
  </si>
  <si>
    <t>FONDI DA DISTRIBUIRE</t>
  </si>
  <si>
    <t>FSR indistinto da distribuire</t>
  </si>
  <si>
    <t>FSR vincolato da distribuire</t>
  </si>
  <si>
    <t>Fondo per ripiano disavanzi pregressi</t>
  </si>
  <si>
    <t>Fondo finanziamento sanitario aggiuntivo corrente LEA</t>
  </si>
  <si>
    <t>Fondo finanziamento sanitario aggiuntivo corrente extra LEA</t>
  </si>
  <si>
    <t>Fondo finanziamento per ricerca</t>
  </si>
  <si>
    <t>Fondo finanziamento per investimenti</t>
  </si>
  <si>
    <t>Fondo finanziamento sanitario aggiuntivo corrente (extra fondo) - Risorse aggiuntive da bilancio regionale a titolo di copertura extra LEA</t>
  </si>
  <si>
    <t>QUOTE INUTILIZZATE CONTRIBUTI</t>
  </si>
  <si>
    <t xml:space="preserve"> Quote inutilizzate contributi da Regione o Prov. Aut. per quota F.S. indistinto finalizzato</t>
  </si>
  <si>
    <t>Quote inutilizzate contributi da Regione o Prov. Aut. per quota F.S. vincolato</t>
  </si>
  <si>
    <t>Quote inutilizzate contributi vincolati da soggetti pubblici (extra fondo)</t>
  </si>
  <si>
    <t>Quote inutilizzate contributi per ricerca</t>
  </si>
  <si>
    <t>Quote inutilizzate contributi vincolati da privati</t>
  </si>
  <si>
    <t>Quote inutilizzate contributi vincolati da privati - sperimentazioni</t>
  </si>
  <si>
    <t>Quote inutilizzate contributi vincolati da privati - altro</t>
  </si>
  <si>
    <t>ALTRI FONDI PER ONERI E SPESE</t>
  </si>
  <si>
    <t>Fondi integrativi pensione</t>
  </si>
  <si>
    <t>Fondi rinnovi contrattuali</t>
  </si>
  <si>
    <t xml:space="preserve">Fondo rinnovi contrattuali personale dipendente </t>
  </si>
  <si>
    <t>Fondo rinnovi convenzioni MMG/PLS/MCA</t>
  </si>
  <si>
    <t>Fondo rinnovi convenzioni medici Sumai</t>
  </si>
  <si>
    <t>Altri fondi per oneri e spese</t>
  </si>
  <si>
    <t>Fondo oneri personale in quiescienza</t>
  </si>
  <si>
    <t>Altri Fondi incentivi funzioni tecniche Art. 113 D.Lgs 50/2016</t>
  </si>
  <si>
    <t>FONDO PER PREMI OPEROSITA' MEDICI SUMAI</t>
  </si>
  <si>
    <t>FONDO PER TRATTAMENTO DI FINE RAPPORTO DIPENDENTI</t>
  </si>
  <si>
    <t>FONDO PER TRATTAMENTI DI QUIESCENZA E SIMILI</t>
  </si>
  <si>
    <t>DEBITI</t>
  </si>
  <si>
    <t>DEBITI PER MUTUI PASSIVI</t>
  </si>
  <si>
    <t>DEBITI V/STATO</t>
  </si>
  <si>
    <t>Debiti v/Stato per mobilità passiva extraregionale</t>
  </si>
  <si>
    <t>Debiti v/Stato per mobilità passiva internazionale</t>
  </si>
  <si>
    <t>Acconto quota FSR v/Stato</t>
  </si>
  <si>
    <t>Debiti v/Stato per restituzione finanziamenti - per ricerca</t>
  </si>
  <si>
    <t>Altri debiti v/Stato</t>
  </si>
  <si>
    <t xml:space="preserve">Acconti su contributi </t>
  </si>
  <si>
    <t>Note di credito da ricevere</t>
  </si>
  <si>
    <t>Note credito da emettere/note debito da ricevere</t>
  </si>
  <si>
    <t>DEBITI V/REGIONE O PROVINCIA AUTONOMA</t>
  </si>
  <si>
    <t>Debiti v/Regione o Provincia Autonoma per finanziamenti - GSA</t>
  </si>
  <si>
    <t>Debiti v/Regione o Provincia Autonoma per finanziamenti</t>
  </si>
  <si>
    <t>Debiti v/Regione o Provincia Autonoma per mobilità passiva intraregionale</t>
  </si>
  <si>
    <t>Debiti v/Regione o Provincia Autonoma per mobilità passiva extraregionale</t>
  </si>
  <si>
    <t>Debiti v/Regione o Provincia Autonoma per mobilità passiva internazionale</t>
  </si>
  <si>
    <t>Acconto quota FSR da Regione o Provincia Autonoma</t>
  </si>
  <si>
    <t>Acconto da Regione o Provincia Autonoma per anticipazione ripiano disavanzo programmato dai Piani aziendali di cui all'art. 1, comma 528, L. 208/2015</t>
  </si>
  <si>
    <t xml:space="preserve">Debiti v/Regione o Provincia Autonoma per contributi L. 210/92 </t>
  </si>
  <si>
    <t>Altri debiti v/Regione o Provincia Autonoma - GSA</t>
  </si>
  <si>
    <t>Altri debiti v/Regione o Provincia Autonoma</t>
  </si>
  <si>
    <t>Altri debiti v/Regione o Provincia Autonoma - vincolati a progetti europei</t>
  </si>
  <si>
    <t>Altri debiti v/Regione o Provincia Autonoma - vincolati a progetti ministeriali</t>
  </si>
  <si>
    <t>Debiti per fatture ricevute e da ricevere</t>
  </si>
  <si>
    <t>DEBITI V/COMUNI</t>
  </si>
  <si>
    <t xml:space="preserve">Acconti da comuni </t>
  </si>
  <si>
    <t>Debiti verso comuni</t>
  </si>
  <si>
    <t>DEBITI V/AZIENDE SANITARIE PUBBLICHE</t>
  </si>
  <si>
    <t>Debiti v/Aziende sanitarie pubbliche della Regione</t>
  </si>
  <si>
    <t>Debiti v/Aziende sanitarie pubbliche della Regione - per quota FSR</t>
  </si>
  <si>
    <t>Debiti v/Aziende sanitarie pubbliche della Regione - per finanziamento sanitario aggiuntivo corrente LEA</t>
  </si>
  <si>
    <t>Debiti v/Aziende sanitarie pubbliche della Regione - per finanziamento sanitario aggiuntivo corrente extra LEA</t>
  </si>
  <si>
    <t>Debiti v/Aziende sanitarie pubbliche della Regione - per mobilità in compensazione</t>
  </si>
  <si>
    <t>Debiti v/Aziende sanitarie pubbliche della Regione - per mobilità non in compensazione</t>
  </si>
  <si>
    <t>Debiti v/Aziende sanitarie pubbliche della Regione - per altre prestazioni</t>
  </si>
  <si>
    <t>Debiti verso aziende sanitarie della Regione - per altre prestazioni</t>
  </si>
  <si>
    <t>Debiti v/Aziende sanitarie pubbliche della Regione - altre prestazioni per STP</t>
  </si>
  <si>
    <t xml:space="preserve">Debiti v/Aziende sanitarie pubbliche della Regione - per Contributi da Aziende sanitarie pubbliche della Regione o Prov. Aut. (extra fondo) </t>
  </si>
  <si>
    <t xml:space="preserve">Debiti v/Aziende sanitarie pubbliche della Regione - per contributi L. 210/92 </t>
  </si>
  <si>
    <t xml:space="preserve">Debiti v/Aziende sanitarie pubbliche Extraregione </t>
  </si>
  <si>
    <t>Debiti verso aziende sanitarie extra regionali</t>
  </si>
  <si>
    <t>Debiti v/Aziende sanitarie pubbliche della Regione per versamenti c/patrimonio netto</t>
  </si>
  <si>
    <t>Debiti v/Aziende sanitarie pubbliche della Regione per versamenti c/patrimonio netto - finanziamenti per investimenti</t>
  </si>
  <si>
    <t xml:space="preserve"> Debiti v/Aziende sanitarie pubbliche della Regione per versamenti c/patrimonio netto - incremento fondo dotazione</t>
  </si>
  <si>
    <t>Debiti v/Aziende sanitarie pubbliche della Regione per versamenti c/patrimonio netto - ripiano perdite</t>
  </si>
  <si>
    <t>Debiti v/Aziende sanitarie pubbliche della Regione per anticipazione ripiano disavanzo programmato dai Piani aziendali di cui all'art. 1, comma 528, L. 208/2015</t>
  </si>
  <si>
    <t>Debiti v/Aziende sanitarie pubbliche della Regione per versamenti c/patrimonio netto - altro</t>
  </si>
  <si>
    <t>DEBITI V/ SOCIETA' PARTECIPATE E/O ENTI DIPENDENTI DELLA REGIONE</t>
  </si>
  <si>
    <t>Debiti v/enti regionali</t>
  </si>
  <si>
    <t>Debiti v/sperimentazioni gestionali</t>
  </si>
  <si>
    <t>Debiti v/altre partecipate</t>
  </si>
  <si>
    <t>DEBITI V/FORNITORI</t>
  </si>
  <si>
    <t xml:space="preserve">Debiti verso erogatori (privati accreditati e convenzionati) di prestazioni sanitarie </t>
  </si>
  <si>
    <t>Note di credito da ricevere (privati accreditati e convenzionati)</t>
  </si>
  <si>
    <t>Debiti verso altri fornitori</t>
  </si>
  <si>
    <t>Fornitori nazionali</t>
  </si>
  <si>
    <t>Fornitori esteri</t>
  </si>
  <si>
    <t>Assicurazioni</t>
  </si>
  <si>
    <t>Debiti vs farmacie</t>
  </si>
  <si>
    <t>Per trattenute a farmacie</t>
  </si>
  <si>
    <t>Note di credito da ricevere (altri fornitori)</t>
  </si>
  <si>
    <t>DEBITI V/ISTITUTO TESORIERE</t>
  </si>
  <si>
    <t>Anticipazioni</t>
  </si>
  <si>
    <t>Interessi passivi da liquidare</t>
  </si>
  <si>
    <t>DEBITI TRIBUTARI</t>
  </si>
  <si>
    <t>Ritenute fiscali</t>
  </si>
  <si>
    <t>Erario c/IVA</t>
  </si>
  <si>
    <t>Iva a debito</t>
  </si>
  <si>
    <t>Iva a debito x acquisti infra CEE</t>
  </si>
  <si>
    <t>Iva a debito per autofatture</t>
  </si>
  <si>
    <t>Iva a debito per split payment</t>
  </si>
  <si>
    <t>Altri debiti tributari</t>
  </si>
  <si>
    <t>DEBITI V/ISTITUTI PREVIDENZIALI, ASSISTENZIALI E SICUREZZA SOCIALE</t>
  </si>
  <si>
    <t>INPS (ex gestione INPDAP)</t>
  </si>
  <si>
    <t>INPS</t>
  </si>
  <si>
    <t>INAIL</t>
  </si>
  <si>
    <t>ENPAM</t>
  </si>
  <si>
    <t>ENPAF</t>
  </si>
  <si>
    <t>ONAOSI</t>
  </si>
  <si>
    <t>ENPAP</t>
  </si>
  <si>
    <t>ENPAV</t>
  </si>
  <si>
    <t>Debiti vs/altri istituti di previdenza</t>
  </si>
  <si>
    <t>DEBITI V/ALTRI</t>
  </si>
  <si>
    <t>Debiti v/altri finanziatori</t>
  </si>
  <si>
    <t>Debiti v/dipendenti</t>
  </si>
  <si>
    <t xml:space="preserve">Debiti verso personale dipendente </t>
  </si>
  <si>
    <t>Debiti CCNL da liquidare</t>
  </si>
  <si>
    <t>Debiti v/gestioni liquidatorie</t>
  </si>
  <si>
    <t>Debiti vs gestione stralcio 1</t>
  </si>
  <si>
    <t>Debiti vs gestione stralcio 2</t>
  </si>
  <si>
    <t>Altri debiti diversi</t>
  </si>
  <si>
    <t>Debiti verso associazioni di volontariato</t>
  </si>
  <si>
    <t>Debiti verso privati paganti c/cauzioni</t>
  </si>
  <si>
    <t>Debiti verso assistiti</t>
  </si>
  <si>
    <t>Debiti per trattenute al personale</t>
  </si>
  <si>
    <t>Debiti verso personale convenzionato</t>
  </si>
  <si>
    <t>Debiti per ACN da liquidare</t>
  </si>
  <si>
    <t>Debiti verso personale non convenzionato</t>
  </si>
  <si>
    <t>Debiti verso personale tirocinante e borsisti</t>
  </si>
  <si>
    <t>Debiti per autofatture da emettere</t>
  </si>
  <si>
    <t>Debiti verso organi direttivi e istituzionali</t>
  </si>
  <si>
    <t>Debiti per quota integrativa organi direttivi e istituzionali da liquidare</t>
  </si>
  <si>
    <t>Debiti vs altri enti pubblici</t>
  </si>
  <si>
    <t>Altri debiti</t>
  </si>
  <si>
    <t>RATEI PASSIVI</t>
  </si>
  <si>
    <t>Ratei passivi v/Aziende sanitarie pubbliche della Regione</t>
  </si>
  <si>
    <t>RISCONTI PASSIVI</t>
  </si>
  <si>
    <t>Risconti passivi v/Aziende sanitarie pubbliche della Regione</t>
  </si>
  <si>
    <t xml:space="preserve"> Risconti passivi - in attuazione dell’art.79, comma 1 sexies lettera c), del D.L. 112/2008, convertito con legge 133/2008 e della legge 23 dicembre 2009 n. 191.</t>
  </si>
  <si>
    <t>TOTALE PASSIVO E PATRIMONIO NETTO</t>
  </si>
  <si>
    <t>CONTI DI RIEPILOGO</t>
  </si>
  <si>
    <t>Stato Patrimoniale di chiusura</t>
  </si>
  <si>
    <t>Stato Patrimoniale di apertura</t>
  </si>
  <si>
    <t>Conto Economico</t>
  </si>
  <si>
    <t>SCHEMA DI RENDICONTO FINANZIARIO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</si>
  <si>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</si>
  <si>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</si>
  <si>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</si>
  <si>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</si>
  <si>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</si>
  <si>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</si>
  <si>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</si>
  <si>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</si>
  <si>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</si>
  <si>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</si>
  <si>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</si>
  <si>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</si>
  <si>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</si>
  <si>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</si>
  <si>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</si>
  <si>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</si>
  <si>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</si>
  <si>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</si>
  <si>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</si>
  <si>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</si>
  <si>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</si>
  <si>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</si>
  <si>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</si>
  <si>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 (compreso il rilascio fondi per esubero)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</si>
  <si>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</si>
  <si>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</si>
  <si>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</si>
  <si>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</si>
  <si>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</si>
  <si>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</si>
  <si>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</si>
  <si>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</si>
  <si>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</si>
  <si>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</si>
  <si>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</si>
  <si>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</si>
  <si>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</si>
  <si>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</si>
  <si>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</si>
  <si>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</si>
  <si>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</si>
  <si>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</si>
  <si>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</si>
  <si>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</si>
  <si>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</si>
  <si>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</si>
  <si>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</si>
  <si>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</si>
  <si>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</si>
  <si>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</si>
  <si>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</si>
  <si>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</si>
  <si>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</si>
  <si>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</si>
  <si>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</si>
  <si>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</si>
  <si>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</si>
  <si>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</si>
  <si>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</si>
  <si>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</si>
  <si>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</si>
  <si>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</si>
  <si>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</si>
  <si>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</si>
  <si>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</si>
  <si>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</si>
  <si>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</si>
  <si>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</si>
  <si>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</si>
  <si>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</si>
  <si>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</si>
  <si>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</si>
  <si>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</si>
  <si>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</si>
  <si>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</si>
  <si>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</si>
  <si>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 xml:space="preserve">Acquisto immobilizzazioni materiali in corso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</si>
  <si>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</si>
  <si>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</si>
  <si>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</si>
  <si>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</si>
  <si>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</si>
  <si>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</si>
  <si>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</si>
  <si>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</si>
  <si>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</si>
  <si>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</si>
  <si>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</si>
  <si>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</si>
  <si>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</si>
  <si>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</si>
  <si>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</si>
  <si>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</si>
  <si>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</si>
  <si>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</si>
  <si>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</si>
  <si>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</si>
  <si>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</si>
  <si>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</si>
  <si>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</si>
  <si>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</si>
  <si>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</si>
  <si>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</si>
  <si>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</si>
  <si>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</si>
  <si>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</si>
  <si>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</si>
  <si>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</si>
  <si>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</si>
  <si>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</si>
  <si>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</si>
  <si>
    <t>Anno 2024</t>
  </si>
  <si>
    <t>IMPORTO
2024</t>
  </si>
  <si>
    <t>Importo
2024</t>
  </si>
  <si>
    <t>ANNO 2024</t>
  </si>
  <si>
    <t>Importo 2025</t>
  </si>
  <si>
    <t>Variazione
importo 2025 / importo 2024</t>
  </si>
  <si>
    <t>X</t>
  </si>
  <si>
    <t>Importo 2025 BILANCIO SANITARIO (A+B)</t>
  </si>
  <si>
    <t>Importo 2025 bilancio sanità (A)</t>
  </si>
  <si>
    <t>Importo 2025 bilancio sanità disabilità (B)</t>
  </si>
  <si>
    <t>Anno 2025</t>
  </si>
  <si>
    <t>VARIAZIONE 2025/2024</t>
  </si>
  <si>
    <t>VARIAZIONE 2025/20244</t>
  </si>
  <si>
    <t>IMPORTO
2025</t>
  </si>
  <si>
    <t>Importo
2025</t>
  </si>
  <si>
    <t>ANNO 2025</t>
  </si>
  <si>
    <t>Fondo rischio sinistri</t>
  </si>
  <si>
    <t>Accantonamenti per fondo riserva sinistri</t>
  </si>
  <si>
    <t>Accantonamenti per fondo rischio sinistri</t>
  </si>
  <si>
    <t>365.RISERSIN</t>
  </si>
  <si>
    <t>365.RISKSIN</t>
  </si>
  <si>
    <t>Fondo riserva sinistri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</si>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</sst>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#,##0_ ;\-#,##0\ "/>
    <numFmt numFmtId="176" formatCode="_-* #,##0_-;\-* #,##0_-;_-* &quot;-&quot;??_-;_-@_-"/>
    <numFmt numFmtId="177" formatCode="_-* #,##0.0\ _€_-;\-* #,##0.0\ _€_-;_-* &quot;-&quot;??\ _€_-;_-@_-"/>
    <numFmt numFmtId="178" formatCode="0.0"/>
    <numFmt numFmtId="179" formatCode="#,##0.00_ ;\-#,##0.00\ "/>
    <numFmt numFmtId="180" formatCode="_ * #,##0.00_ ;_ * \-#,##0.00_ ;_ * &quot;-&quot;??_ ;_ @_ "/>
    <numFmt numFmtId="181" formatCode="_ * #,##0_ ;_ * \-#,##0_ ;_ * &quot;-&quot;??_ ;_ @_ "/>
  </numFmts>
  <fonts count="9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trike/>
      <sz val="10"/>
      <name val="DecimaWE Rg"/>
    </font>
    <font>
      <sz val="10"/>
      <name val="MS Sans Serif"/>
      <family val="2"/>
    </font>
    <font>
      <sz val="12"/>
      <name val="DecimaWE Rg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i/>
      <sz val="14"/>
      <name val="Calibri"/>
      <family val="2"/>
      <scheme val="minor"/>
    </font>
    <font>
      <b/>
      <sz val="12"/>
      <name val="New Century Schlbk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u/>
      <sz val="10"/>
      <name val="Tahoma"/>
      <family val="2"/>
    </font>
    <font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color rgb="FFFF0000"/>
      <name val="DecimaWE Rg"/>
    </font>
    <font>
      <sz val="9"/>
      <name val="Tahoma"/>
      <family val="2"/>
    </font>
    <font>
      <b/>
      <sz val="14"/>
      <name val="DecimaWE Rg"/>
    </font>
    <font>
      <sz val="8"/>
      <color rgb="FFFF0000"/>
      <name val="DecimaWE Rg"/>
    </font>
    <font>
      <b/>
      <sz val="8"/>
      <color rgb="FFFF0000"/>
      <name val="DecimaWE Rg"/>
    </font>
    <font>
      <sz val="9"/>
      <color indexed="81"/>
      <name val="Tahoma"/>
      <family val="2"/>
    </font>
    <font>
      <sz val="16"/>
      <name val="Tahoma"/>
      <family val="2"/>
    </font>
    <font>
      <sz val="12"/>
      <color theme="0"/>
      <name val="Tahoma"/>
      <family val="2"/>
    </font>
    <font>
      <b/>
      <sz val="16"/>
      <color rgb="FFFF0000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trike/>
      <sz val="10"/>
      <name val="Tahoma"/>
      <family val="2"/>
    </font>
    <font>
      <b/>
      <i/>
      <strike/>
      <sz val="10"/>
      <name val="Tahoma"/>
      <family val="2"/>
    </font>
    <font>
      <b/>
      <sz val="10"/>
      <color indexed="9"/>
      <name val="Arial"/>
      <family val="2"/>
    </font>
    <font>
      <sz val="8"/>
      <name val="Univers 45 Light"/>
    </font>
    <font>
      <b/>
      <sz val="8"/>
      <color rgb="FFFF0000"/>
      <name val="Univers 45 Light"/>
    </font>
    <font>
      <b/>
      <sz val="8"/>
      <name val="Univers 45 Light"/>
    </font>
    <font>
      <b/>
      <i/>
      <sz val="8"/>
      <color rgb="FFFF0000"/>
      <name val="Univers 45 Light"/>
    </font>
    <font>
      <b/>
      <i/>
      <sz val="8"/>
      <name val="Univers 45 Light"/>
    </font>
    <font>
      <sz val="10"/>
      <name val="Book Antiqua"/>
      <family val="1"/>
    </font>
    <font>
      <i/>
      <sz val="8"/>
      <name val="Univers 45 Light"/>
    </font>
    <font>
      <b/>
      <i/>
      <sz val="8"/>
      <color indexed="9"/>
      <name val="Univers 45 Light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FF0000"/>
      <name val="Univers 45 Light"/>
    </font>
  </fonts>
  <fills count="4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0" tint="-0.14999847407452621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136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0" fontId="7" fillId="0" borderId="0"/>
    <xf numFmtId="0" fontId="18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2" fillId="5" borderId="47" applyNumberFormat="0" applyAlignment="0" applyProtection="0"/>
    <xf numFmtId="0" fontId="23" fillId="0" borderId="48" applyNumberFormat="0" applyFill="0" applyAlignment="0" applyProtection="0"/>
    <xf numFmtId="0" fontId="24" fillId="14" borderId="49" applyNumberFormat="0" applyAlignment="0" applyProtection="0"/>
    <xf numFmtId="0" fontId="25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38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ill="0" applyBorder="0" applyAlignment="0" applyProtection="0"/>
    <xf numFmtId="4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6" fillId="6" borderId="47" applyNumberFormat="0" applyAlignment="0" applyProtection="0"/>
    <xf numFmtId="170" fontId="2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38" fontId="1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9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0" fillId="11" borderId="0" applyNumberFormat="0" applyBorder="0" applyAlignment="0" applyProtection="0"/>
    <xf numFmtId="0" fontId="7" fillId="0" borderId="0"/>
    <xf numFmtId="0" fontId="18" fillId="0" borderId="0"/>
    <xf numFmtId="0" fontId="28" fillId="0" borderId="0"/>
    <xf numFmtId="0" fontId="7" fillId="0" borderId="0"/>
    <xf numFmtId="0" fontId="28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9" fillId="7" borderId="50" applyNumberFormat="0" applyAlignment="0" applyProtection="0"/>
    <xf numFmtId="0" fontId="31" fillId="9" borderId="51" applyNumberFormat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49" fontId="32" fillId="19" borderId="52">
      <alignment vertical="center"/>
    </xf>
    <xf numFmtId="49" fontId="7" fillId="20" borderId="52">
      <alignment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53" applyNumberFormat="0" applyFill="0" applyAlignment="0" applyProtection="0"/>
    <xf numFmtId="0" fontId="36" fillId="0" borderId="54" applyNumberFormat="0" applyFill="0" applyAlignment="0" applyProtection="0"/>
    <xf numFmtId="0" fontId="37" fillId="0" borderId="55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6" applyNumberFormat="0" applyFill="0" applyAlignment="0" applyProtection="0"/>
    <xf numFmtId="0" fontId="40" fillId="21" borderId="0" applyNumberFormat="0" applyBorder="0" applyAlignment="0" applyProtection="0"/>
    <xf numFmtId="0" fontId="41" fillId="22" borderId="0" applyNumberFormat="0" applyBorder="0" applyAlignment="0" applyProtection="0"/>
    <xf numFmtId="173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74" fontId="60" fillId="0" borderId="0">
      <alignment horizontal="left"/>
    </xf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27" fillId="0" borderId="0" applyNumberFormat="0" applyFill="0" applyBorder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" fillId="0" borderId="0"/>
    <xf numFmtId="180" fontId="16" fillId="0" borderId="0" applyFont="0" applyFill="0" applyBorder="0" applyAlignment="0" applyProtection="0"/>
    <xf numFmtId="0" fontId="28" fillId="0" borderId="0"/>
    <xf numFmtId="166" fontId="92" fillId="0" borderId="0"/>
  </cellStyleXfs>
  <cellXfs count="1067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6" fontId="10" fillId="0" borderId="0" xfId="2" quotePrefix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0" fontId="10" fillId="0" borderId="0" xfId="2" applyNumberFormat="1" applyFont="1" applyFill="1" applyBorder="1" applyAlignment="1" applyProtection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43" fontId="8" fillId="0" borderId="0" xfId="1" applyFont="1" applyFill="1" applyAlignment="1">
      <alignment vertical="center" wrapText="1"/>
    </xf>
    <xf numFmtId="0" fontId="8" fillId="0" borderId="0" xfId="4" applyFont="1" applyAlignment="1">
      <alignment vertical="center"/>
    </xf>
    <xf numFmtId="0" fontId="6" fillId="3" borderId="1" xfId="5" applyFont="1" applyFill="1" applyBorder="1" applyAlignment="1">
      <alignment horizontal="left" vertical="center" wrapText="1"/>
    </xf>
    <xf numFmtId="0" fontId="6" fillId="3" borderId="38" xfId="5" applyFont="1" applyFill="1" applyBorder="1" applyAlignment="1">
      <alignment horizontal="center" vertical="center" wrapText="1"/>
    </xf>
    <xf numFmtId="0" fontId="8" fillId="0" borderId="2" xfId="5" applyFont="1" applyBorder="1" applyAlignment="1">
      <alignment horizontal="left" vertical="center" wrapText="1"/>
    </xf>
    <xf numFmtId="0" fontId="8" fillId="0" borderId="39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8" fillId="0" borderId="0" xfId="4" applyFont="1" applyAlignment="1">
      <alignment vertical="center" wrapText="1"/>
    </xf>
    <xf numFmtId="0" fontId="8" fillId="0" borderId="39" xfId="5" applyFont="1" applyBorder="1" applyAlignment="1">
      <alignment horizontal="center" vertical="center"/>
    </xf>
    <xf numFmtId="0" fontId="8" fillId="0" borderId="9" xfId="5" applyFont="1" applyBorder="1" applyAlignment="1">
      <alignment horizontal="left" vertical="center" wrapText="1"/>
    </xf>
    <xf numFmtId="0" fontId="6" fillId="0" borderId="2" xfId="6" applyFont="1" applyBorder="1" applyAlignment="1">
      <alignment vertical="center" wrapText="1"/>
    </xf>
    <xf numFmtId="0" fontId="6" fillId="0" borderId="40" xfId="6" applyFont="1" applyBorder="1" applyAlignment="1">
      <alignment vertical="center" wrapText="1"/>
    </xf>
    <xf numFmtId="0" fontId="6" fillId="0" borderId="19" xfId="5" applyFont="1" applyBorder="1" applyAlignment="1">
      <alignment horizontal="left" vertical="center" wrapText="1"/>
    </xf>
    <xf numFmtId="0" fontId="8" fillId="0" borderId="44" xfId="5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6" fillId="0" borderId="1" xfId="5" applyFont="1" applyBorder="1" applyAlignment="1">
      <alignment horizontal="left" vertical="center" wrapText="1"/>
    </xf>
    <xf numFmtId="0" fontId="6" fillId="3" borderId="37" xfId="5" applyFont="1" applyFill="1" applyBorder="1" applyAlignment="1">
      <alignment horizontal="center" vertical="center" wrapText="1"/>
    </xf>
    <xf numFmtId="0" fontId="19" fillId="0" borderId="0" xfId="4" applyFont="1" applyAlignment="1">
      <alignment vertical="center" wrapText="1"/>
    </xf>
    <xf numFmtId="0" fontId="19" fillId="0" borderId="0" xfId="4" applyFont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42" fillId="0" borderId="0" xfId="4" applyFont="1" applyAlignment="1">
      <alignment horizontal="left" vertical="center"/>
    </xf>
    <xf numFmtId="0" fontId="43" fillId="0" borderId="0" xfId="4" applyFont="1" applyAlignment="1">
      <alignment horizontal="center" vertical="center"/>
    </xf>
    <xf numFmtId="0" fontId="43" fillId="0" borderId="0" xfId="4" applyFont="1" applyAlignment="1">
      <alignment vertical="center"/>
    </xf>
    <xf numFmtId="0" fontId="43" fillId="23" borderId="0" xfId="4" applyFont="1" applyFill="1" applyAlignment="1">
      <alignment vertical="center"/>
    </xf>
    <xf numFmtId="0" fontId="45" fillId="3" borderId="23" xfId="4" applyFont="1" applyFill="1" applyBorder="1" applyAlignment="1">
      <alignment horizontal="center" vertical="center"/>
    </xf>
    <xf numFmtId="0" fontId="45" fillId="3" borderId="24" xfId="4" applyFont="1" applyFill="1" applyBorder="1" applyAlignment="1">
      <alignment horizontal="center" vertical="center"/>
    </xf>
    <xf numFmtId="0" fontId="45" fillId="3" borderId="57" xfId="4" applyFont="1" applyFill="1" applyBorder="1" applyAlignment="1">
      <alignment horizontal="center" vertical="center"/>
    </xf>
    <xf numFmtId="0" fontId="46" fillId="24" borderId="0" xfId="4" applyFont="1" applyFill="1" applyAlignment="1">
      <alignment vertical="center"/>
    </xf>
    <xf numFmtId="0" fontId="45" fillId="3" borderId="58" xfId="4" applyFont="1" applyFill="1" applyBorder="1" applyAlignment="1">
      <alignment horizontal="center" vertical="center"/>
    </xf>
    <xf numFmtId="0" fontId="45" fillId="3" borderId="27" xfId="4" applyFont="1" applyFill="1" applyBorder="1" applyAlignment="1">
      <alignment horizontal="center" vertical="center"/>
    </xf>
    <xf numFmtId="0" fontId="45" fillId="3" borderId="59" xfId="4" applyFont="1" applyFill="1" applyBorder="1" applyAlignment="1">
      <alignment horizontal="center" vertical="center"/>
    </xf>
    <xf numFmtId="0" fontId="47" fillId="0" borderId="0" xfId="4" applyFont="1" applyAlignment="1">
      <alignment horizontal="left" vertical="center"/>
    </xf>
    <xf numFmtId="0" fontId="45" fillId="0" borderId="0" xfId="4" applyFont="1" applyAlignment="1">
      <alignment horizontal="left" vertical="center"/>
    </xf>
    <xf numFmtId="0" fontId="45" fillId="0" borderId="0" xfId="4" applyFont="1" applyAlignment="1">
      <alignment horizontal="center" vertical="center" wrapText="1"/>
    </xf>
    <xf numFmtId="0" fontId="45" fillId="23" borderId="0" xfId="4" applyFont="1" applyFill="1" applyAlignment="1">
      <alignment horizontal="center" vertical="center" wrapText="1"/>
    </xf>
    <xf numFmtId="0" fontId="49" fillId="24" borderId="0" xfId="4" applyFont="1" applyFill="1" applyAlignment="1">
      <alignment vertical="center"/>
    </xf>
    <xf numFmtId="0" fontId="47" fillId="23" borderId="0" xfId="4" applyFont="1" applyFill="1" applyAlignment="1">
      <alignment vertical="center"/>
    </xf>
    <xf numFmtId="0" fontId="47" fillId="23" borderId="0" xfId="4" applyFont="1" applyFill="1" applyAlignment="1">
      <alignment horizontal="center" vertical="center"/>
    </xf>
    <xf numFmtId="0" fontId="47" fillId="0" borderId="0" xfId="4" applyFont="1" applyAlignment="1">
      <alignment horizontal="center" vertical="center"/>
    </xf>
    <xf numFmtId="164" fontId="44" fillId="23" borderId="0" xfId="116" applyFont="1" applyFill="1" applyAlignment="1">
      <alignment horizontal="center" vertical="center"/>
    </xf>
    <xf numFmtId="0" fontId="42" fillId="25" borderId="30" xfId="4" applyFont="1" applyFill="1" applyBorder="1" applyAlignment="1">
      <alignment horizontal="left" vertical="center"/>
    </xf>
    <xf numFmtId="0" fontId="42" fillId="25" borderId="31" xfId="4" applyFont="1" applyFill="1" applyBorder="1" applyAlignment="1">
      <alignment horizontal="center" vertical="center"/>
    </xf>
    <xf numFmtId="0" fontId="42" fillId="3" borderId="32" xfId="4" applyFont="1" applyFill="1" applyBorder="1" applyAlignment="1">
      <alignment horizontal="center" vertical="center"/>
    </xf>
    <xf numFmtId="0" fontId="47" fillId="0" borderId="23" xfId="4" applyFont="1" applyBorder="1" applyAlignment="1">
      <alignment horizontal="center" vertical="center"/>
    </xf>
    <xf numFmtId="0" fontId="47" fillId="0" borderId="24" xfId="4" applyFont="1" applyBorder="1" applyAlignment="1">
      <alignment horizontal="center" vertical="center"/>
    </xf>
    <xf numFmtId="0" fontId="47" fillId="23" borderId="24" xfId="4" applyFont="1" applyFill="1" applyBorder="1" applyAlignment="1">
      <alignment horizontal="center" vertical="center"/>
    </xf>
    <xf numFmtId="0" fontId="47" fillId="23" borderId="57" xfId="4" applyFont="1" applyFill="1" applyBorder="1" applyAlignment="1">
      <alignment horizontal="center" vertical="center"/>
    </xf>
    <xf numFmtId="0" fontId="47" fillId="0" borderId="13" xfId="4" applyFont="1" applyBorder="1" applyAlignment="1">
      <alignment horizontal="center" vertical="center"/>
    </xf>
    <xf numFmtId="0" fontId="47" fillId="23" borderId="37" xfId="4" applyFont="1" applyFill="1" applyBorder="1" applyAlignment="1">
      <alignment horizontal="center" vertical="center"/>
    </xf>
    <xf numFmtId="0" fontId="47" fillId="23" borderId="60" xfId="4" applyFont="1" applyFill="1" applyBorder="1" applyAlignment="1">
      <alignment horizontal="center" vertical="center"/>
    </xf>
    <xf numFmtId="0" fontId="47" fillId="23" borderId="0" xfId="4" applyFont="1" applyFill="1" applyAlignment="1">
      <alignment horizontal="left" vertical="center"/>
    </xf>
    <xf numFmtId="0" fontId="47" fillId="23" borderId="0" xfId="4" applyFont="1" applyFill="1" applyAlignment="1">
      <alignment horizontal="right" vertical="center"/>
    </xf>
    <xf numFmtId="0" fontId="47" fillId="0" borderId="58" xfId="4" applyFont="1" applyBorder="1" applyAlignment="1">
      <alignment horizontal="center" vertical="center"/>
    </xf>
    <xf numFmtId="0" fontId="47" fillId="0" borderId="27" xfId="4" applyFont="1" applyBorder="1" applyAlignment="1">
      <alignment horizontal="center" vertical="center"/>
    </xf>
    <xf numFmtId="0" fontId="47" fillId="23" borderId="27" xfId="4" applyFont="1" applyFill="1" applyBorder="1" applyAlignment="1">
      <alignment horizontal="center" vertical="center"/>
    </xf>
    <xf numFmtId="0" fontId="47" fillId="23" borderId="59" xfId="4" applyFont="1" applyFill="1" applyBorder="1" applyAlignment="1">
      <alignment horizontal="center" vertical="center"/>
    </xf>
    <xf numFmtId="0" fontId="43" fillId="23" borderId="23" xfId="4" applyFont="1" applyFill="1" applyBorder="1" applyAlignment="1">
      <alignment vertical="center"/>
    </xf>
    <xf numFmtId="0" fontId="42" fillId="0" borderId="24" xfId="4" applyFont="1" applyBorder="1" applyAlignment="1">
      <alignment horizontal="center" vertical="center"/>
    </xf>
    <xf numFmtId="0" fontId="42" fillId="23" borderId="24" xfId="4" applyFont="1" applyFill="1" applyBorder="1" applyAlignment="1">
      <alignment horizontal="center" vertical="center"/>
    </xf>
    <xf numFmtId="0" fontId="43" fillId="23" borderId="13" xfId="4" applyFont="1" applyFill="1" applyBorder="1" applyAlignment="1">
      <alignment vertical="center"/>
    </xf>
    <xf numFmtId="0" fontId="43" fillId="23" borderId="58" xfId="4" applyFont="1" applyFill="1" applyBorder="1" applyAlignment="1">
      <alignment vertical="center"/>
    </xf>
    <xf numFmtId="0" fontId="42" fillId="23" borderId="0" xfId="4" applyFont="1" applyFill="1" applyAlignment="1">
      <alignment horizontal="center" vertical="center" wrapText="1"/>
    </xf>
    <xf numFmtId="0" fontId="42" fillId="0" borderId="0" xfId="4" applyFont="1" applyAlignment="1">
      <alignment horizontal="center" vertical="center" wrapText="1"/>
    </xf>
    <xf numFmtId="0" fontId="43" fillId="24" borderId="0" xfId="4" applyFont="1" applyFill="1" applyAlignment="1">
      <alignment vertical="center" wrapText="1"/>
    </xf>
    <xf numFmtId="0" fontId="50" fillId="0" borderId="23" xfId="5" applyFont="1" applyBorder="1" applyAlignment="1">
      <alignment horizontal="center" vertical="center" wrapText="1"/>
    </xf>
    <xf numFmtId="0" fontId="50" fillId="24" borderId="0" xfId="5" applyFont="1" applyFill="1" applyAlignment="1">
      <alignment vertical="center" wrapText="1"/>
    </xf>
    <xf numFmtId="0" fontId="50" fillId="24" borderId="0" xfId="5" applyFont="1" applyFill="1" applyAlignment="1">
      <alignment vertical="center"/>
    </xf>
    <xf numFmtId="0" fontId="52" fillId="0" borderId="0" xfId="4" applyFont="1" applyAlignment="1">
      <alignment vertical="center" wrapText="1"/>
    </xf>
    <xf numFmtId="0" fontId="50" fillId="0" borderId="45" xfId="5" applyFont="1" applyBorder="1" applyAlignment="1">
      <alignment horizontal="center" vertical="center" wrapText="1"/>
    </xf>
    <xf numFmtId="0" fontId="50" fillId="0" borderId="45" xfId="5" applyFont="1" applyBorder="1" applyAlignment="1">
      <alignment horizontal="left" vertical="center" wrapText="1"/>
    </xf>
    <xf numFmtId="164" fontId="53" fillId="0" borderId="39" xfId="116" applyFont="1" applyBorder="1" applyAlignment="1">
      <alignment horizontal="right" vertical="center" wrapText="1"/>
    </xf>
    <xf numFmtId="0" fontId="42" fillId="0" borderId="0" xfId="4" applyFont="1" applyAlignment="1">
      <alignment vertical="center" wrapText="1"/>
    </xf>
    <xf numFmtId="0" fontId="56" fillId="0" borderId="45" xfId="5" applyFont="1" applyBorder="1" applyAlignment="1">
      <alignment horizontal="center" vertical="center" wrapText="1"/>
    </xf>
    <xf numFmtId="0" fontId="56" fillId="0" borderId="45" xfId="5" applyFont="1" applyBorder="1" applyAlignment="1">
      <alignment horizontal="left" vertical="center" wrapText="1"/>
    </xf>
    <xf numFmtId="0" fontId="55" fillId="0" borderId="45" xfId="5" applyFont="1" applyBorder="1" applyAlignment="1">
      <alignment horizontal="center" vertical="center" wrapText="1"/>
    </xf>
    <xf numFmtId="0" fontId="55" fillId="0" borderId="45" xfId="5" applyFont="1" applyBorder="1" applyAlignment="1">
      <alignment horizontal="left" vertical="center" wrapText="1"/>
    </xf>
    <xf numFmtId="0" fontId="47" fillId="0" borderId="45" xfId="5" applyFont="1" applyBorder="1" applyAlignment="1">
      <alignment horizontal="center" vertical="center" wrapText="1"/>
    </xf>
    <xf numFmtId="0" fontId="47" fillId="0" borderId="45" xfId="5" applyFont="1" applyBorder="1" applyAlignment="1">
      <alignment horizontal="left" vertical="center" wrapText="1"/>
    </xf>
    <xf numFmtId="0" fontId="47" fillId="24" borderId="45" xfId="5" applyFont="1" applyFill="1" applyBorder="1" applyAlignment="1">
      <alignment horizontal="center" vertical="center" wrapText="1"/>
    </xf>
    <xf numFmtId="0" fontId="47" fillId="24" borderId="45" xfId="5" applyFont="1" applyFill="1" applyBorder="1" applyAlignment="1">
      <alignment horizontal="left" vertical="center" wrapText="1"/>
    </xf>
    <xf numFmtId="164" fontId="53" fillId="0" borderId="39" xfId="116" applyFont="1" applyFill="1" applyBorder="1" applyAlignment="1">
      <alignment horizontal="right" vertical="center" wrapText="1"/>
    </xf>
    <xf numFmtId="0" fontId="54" fillId="0" borderId="0" xfId="4" applyFont="1" applyAlignment="1">
      <alignment vertical="center" wrapText="1"/>
    </xf>
    <xf numFmtId="0" fontId="55" fillId="24" borderId="45" xfId="5" applyFont="1" applyFill="1" applyBorder="1" applyAlignment="1">
      <alignment horizontal="center" vertical="center" wrapText="1"/>
    </xf>
    <xf numFmtId="0" fontId="55" fillId="24" borderId="45" xfId="5" applyFont="1" applyFill="1" applyBorder="1" applyAlignment="1">
      <alignment horizontal="left" vertical="center" wrapText="1"/>
    </xf>
    <xf numFmtId="0" fontId="55" fillId="24" borderId="64" xfId="5" applyFont="1" applyFill="1" applyBorder="1" applyAlignment="1">
      <alignment horizontal="left" vertical="center" wrapText="1"/>
    </xf>
    <xf numFmtId="0" fontId="47" fillId="24" borderId="0" xfId="5" applyFont="1" applyFill="1" applyAlignment="1">
      <alignment vertical="center"/>
    </xf>
    <xf numFmtId="0" fontId="47" fillId="24" borderId="0" xfId="4" applyFont="1" applyFill="1" applyAlignment="1">
      <alignment horizontal="center" vertical="center"/>
    </xf>
    <xf numFmtId="0" fontId="47" fillId="24" borderId="0" xfId="4" applyFont="1" applyFill="1" applyAlignment="1">
      <alignment vertical="center"/>
    </xf>
    <xf numFmtId="0" fontId="43" fillId="24" borderId="0" xfId="4" applyFont="1" applyFill="1" applyAlignment="1">
      <alignment vertical="center"/>
    </xf>
    <xf numFmtId="0" fontId="43" fillId="23" borderId="0" xfId="4" applyFont="1" applyFill="1" applyAlignment="1">
      <alignment horizontal="center" vertical="center"/>
    </xf>
    <xf numFmtId="0" fontId="47" fillId="0" borderId="0" xfId="5" applyFont="1" applyAlignment="1">
      <alignment horizontal="center" vertical="center"/>
    </xf>
    <xf numFmtId="0" fontId="47" fillId="0" borderId="0" xfId="5" applyFont="1" applyAlignment="1">
      <alignment vertical="center"/>
    </xf>
    <xf numFmtId="0" fontId="47" fillId="0" borderId="0" xfId="4" applyFont="1" applyAlignment="1">
      <alignment vertical="center"/>
    </xf>
    <xf numFmtId="164" fontId="53" fillId="4" borderId="39" xfId="116" applyFont="1" applyFill="1" applyBorder="1" applyAlignment="1">
      <alignment horizontal="right" vertical="center" wrapText="1"/>
    </xf>
    <xf numFmtId="0" fontId="56" fillId="4" borderId="45" xfId="5" applyFont="1" applyFill="1" applyBorder="1" applyAlignment="1">
      <alignment horizontal="center" vertical="center" wrapText="1"/>
    </xf>
    <xf numFmtId="0" fontId="56" fillId="4" borderId="45" xfId="5" applyFont="1" applyFill="1" applyBorder="1" applyAlignment="1">
      <alignment horizontal="left" vertical="center" wrapText="1"/>
    </xf>
    <xf numFmtId="0" fontId="51" fillId="26" borderId="61" xfId="5" applyFont="1" applyFill="1" applyBorder="1" applyAlignment="1">
      <alignment horizontal="center" vertical="center" wrapText="1"/>
    </xf>
    <xf numFmtId="0" fontId="52" fillId="26" borderId="61" xfId="5" applyFont="1" applyFill="1" applyBorder="1" applyAlignment="1">
      <alignment vertical="center" wrapText="1"/>
    </xf>
    <xf numFmtId="164" fontId="53" fillId="26" borderId="62" xfId="116" applyFont="1" applyFill="1" applyBorder="1" applyAlignment="1">
      <alignment horizontal="right" vertical="center" wrapText="1"/>
    </xf>
    <xf numFmtId="0" fontId="50" fillId="27" borderId="45" xfId="5" applyFont="1" applyFill="1" applyBorder="1" applyAlignment="1">
      <alignment horizontal="center" vertical="center" wrapText="1"/>
    </xf>
    <xf numFmtId="0" fontId="50" fillId="27" borderId="45" xfId="5" applyFont="1" applyFill="1" applyBorder="1" applyAlignment="1">
      <alignment horizontal="left" vertical="center" wrapText="1"/>
    </xf>
    <xf numFmtId="164" fontId="53" fillId="27" borderId="39" xfId="116" applyFont="1" applyFill="1" applyBorder="1" applyAlignment="1">
      <alignment horizontal="right" vertical="center" wrapText="1"/>
    </xf>
    <xf numFmtId="0" fontId="50" fillId="28" borderId="45" xfId="5" applyFont="1" applyFill="1" applyBorder="1" applyAlignment="1">
      <alignment horizontal="center" vertical="center" wrapText="1"/>
    </xf>
    <xf numFmtId="0" fontId="50" fillId="28" borderId="45" xfId="5" applyFont="1" applyFill="1" applyBorder="1" applyAlignment="1">
      <alignment horizontal="left" vertical="center" wrapText="1"/>
    </xf>
    <xf numFmtId="164" fontId="53" fillId="28" borderId="39" xfId="116" applyFont="1" applyFill="1" applyBorder="1" applyAlignment="1">
      <alignment horizontal="right" vertical="center" wrapText="1"/>
    </xf>
    <xf numFmtId="0" fontId="55" fillId="29" borderId="45" xfId="5" applyFont="1" applyFill="1" applyBorder="1" applyAlignment="1">
      <alignment horizontal="center" vertical="center" wrapText="1"/>
    </xf>
    <xf numFmtId="0" fontId="55" fillId="29" borderId="45" xfId="5" applyFont="1" applyFill="1" applyBorder="1" applyAlignment="1">
      <alignment horizontal="left" vertical="center" wrapText="1"/>
    </xf>
    <xf numFmtId="164" fontId="53" fillId="29" borderId="39" xfId="116" applyFont="1" applyFill="1" applyBorder="1" applyAlignment="1">
      <alignment horizontal="right" vertical="center" wrapText="1"/>
    </xf>
    <xf numFmtId="0" fontId="47" fillId="30" borderId="45" xfId="5" applyFont="1" applyFill="1" applyBorder="1" applyAlignment="1">
      <alignment horizontal="center" vertical="center" wrapText="1"/>
    </xf>
    <xf numFmtId="0" fontId="47" fillId="30" borderId="45" xfId="5" applyFont="1" applyFill="1" applyBorder="1" applyAlignment="1">
      <alignment horizontal="left" vertical="center" wrapText="1"/>
    </xf>
    <xf numFmtId="164" fontId="53" fillId="30" borderId="39" xfId="116" applyFont="1" applyFill="1" applyBorder="1" applyAlignment="1">
      <alignment horizontal="right" vertical="center" wrapText="1"/>
    </xf>
    <xf numFmtId="0" fontId="55" fillId="30" borderId="45" xfId="5" applyFont="1" applyFill="1" applyBorder="1" applyAlignment="1">
      <alignment horizontal="center" vertical="center" wrapText="1"/>
    </xf>
    <xf numFmtId="0" fontId="55" fillId="30" borderId="45" xfId="5" applyFont="1" applyFill="1" applyBorder="1" applyAlignment="1">
      <alignment horizontal="left" vertical="center" wrapText="1"/>
    </xf>
    <xf numFmtId="164" fontId="59" fillId="30" borderId="39" xfId="116" applyFont="1" applyFill="1" applyBorder="1" applyAlignment="1">
      <alignment horizontal="right" vertical="center" wrapText="1"/>
    </xf>
    <xf numFmtId="164" fontId="53" fillId="31" borderId="39" xfId="116" applyFont="1" applyFill="1" applyBorder="1" applyAlignment="1">
      <alignment horizontal="right" vertical="center" wrapText="1"/>
    </xf>
    <xf numFmtId="0" fontId="47" fillId="26" borderId="45" xfId="5" applyFont="1" applyFill="1" applyBorder="1" applyAlignment="1">
      <alignment horizontal="center" vertical="center" wrapText="1"/>
    </xf>
    <xf numFmtId="0" fontId="50" fillId="26" borderId="45" xfId="5" applyFont="1" applyFill="1" applyBorder="1" applyAlignment="1">
      <alignment horizontal="left" vertical="center" wrapText="1"/>
    </xf>
    <xf numFmtId="164" fontId="53" fillId="26" borderId="39" xfId="116" applyFont="1" applyFill="1" applyBorder="1" applyAlignment="1">
      <alignment horizontal="right" vertical="center" wrapText="1"/>
    </xf>
    <xf numFmtId="0" fontId="6" fillId="0" borderId="38" xfId="5" applyFont="1" applyBorder="1" applyAlignment="1">
      <alignment horizontal="center" vertical="center" wrapText="1"/>
    </xf>
    <xf numFmtId="0" fontId="42" fillId="26" borderId="45" xfId="5" applyFont="1" applyFill="1" applyBorder="1" applyAlignment="1">
      <alignment horizontal="left" vertical="center" wrapText="1"/>
    </xf>
    <xf numFmtId="0" fontId="56" fillId="29" borderId="45" xfId="5" applyFont="1" applyFill="1" applyBorder="1" applyAlignment="1">
      <alignment horizontal="center" vertical="center" wrapText="1"/>
    </xf>
    <xf numFmtId="0" fontId="56" fillId="29" borderId="45" xfId="5" applyFont="1" applyFill="1" applyBorder="1" applyAlignment="1">
      <alignment horizontal="left" vertical="center" wrapText="1"/>
    </xf>
    <xf numFmtId="0" fontId="58" fillId="32" borderId="45" xfId="5" applyFont="1" applyFill="1" applyBorder="1" applyAlignment="1">
      <alignment horizontal="center" vertical="center" wrapText="1"/>
    </xf>
    <xf numFmtId="0" fontId="58" fillId="32" borderId="45" xfId="5" applyFont="1" applyFill="1" applyBorder="1" applyAlignment="1">
      <alignment horizontal="left" vertical="center" wrapText="1"/>
    </xf>
    <xf numFmtId="164" fontId="53" fillId="32" borderId="39" xfId="116" applyFont="1" applyFill="1" applyBorder="1" applyAlignment="1">
      <alignment horizontal="right" vertical="center" wrapText="1"/>
    </xf>
    <xf numFmtId="0" fontId="58" fillId="31" borderId="45" xfId="5" applyFont="1" applyFill="1" applyBorder="1" applyAlignment="1">
      <alignment horizontal="center" vertical="center" wrapText="1"/>
    </xf>
    <xf numFmtId="0" fontId="58" fillId="31" borderId="45" xfId="5" applyFont="1" applyFill="1" applyBorder="1" applyAlignment="1">
      <alignment horizontal="left" vertical="center" wrapText="1"/>
    </xf>
    <xf numFmtId="0" fontId="47" fillId="33" borderId="45" xfId="5" applyFont="1" applyFill="1" applyBorder="1" applyAlignment="1">
      <alignment horizontal="center" vertical="center" wrapText="1"/>
    </xf>
    <xf numFmtId="0" fontId="47" fillId="33" borderId="45" xfId="5" applyFont="1" applyFill="1" applyBorder="1" applyAlignment="1">
      <alignment horizontal="left" vertical="center" wrapText="1"/>
    </xf>
    <xf numFmtId="164" fontId="53" fillId="33" borderId="39" xfId="116" applyFont="1" applyFill="1" applyBorder="1" applyAlignment="1">
      <alignment horizontal="right" vertical="center" wrapText="1"/>
    </xf>
    <xf numFmtId="0" fontId="50" fillId="34" borderId="18" xfId="5" applyFont="1" applyFill="1" applyBorder="1" applyAlignment="1">
      <alignment horizontal="center" vertical="center" wrapText="1"/>
    </xf>
    <xf numFmtId="0" fontId="50" fillId="34" borderId="18" xfId="5" applyFont="1" applyFill="1" applyBorder="1" applyAlignment="1">
      <alignment horizontal="left" vertical="center" wrapText="1"/>
    </xf>
    <xf numFmtId="164" fontId="53" fillId="34" borderId="44" xfId="116" applyFont="1" applyFill="1" applyBorder="1" applyAlignment="1">
      <alignment horizontal="right" vertical="center" wrapText="1"/>
    </xf>
    <xf numFmtId="10" fontId="11" fillId="4" borderId="63" xfId="3" applyNumberFormat="1" applyFont="1" applyFill="1" applyBorder="1" applyAlignment="1" applyProtection="1">
      <alignment horizontal="right" vertical="center"/>
    </xf>
    <xf numFmtId="10" fontId="11" fillId="4" borderId="7" xfId="3" applyNumberFormat="1" applyFont="1" applyFill="1" applyBorder="1" applyAlignment="1" applyProtection="1">
      <alignment horizontal="right" vertical="center"/>
    </xf>
    <xf numFmtId="10" fontId="11" fillId="4" borderId="66" xfId="3" applyNumberFormat="1" applyFont="1" applyFill="1" applyBorder="1" applyAlignment="1" applyProtection="1">
      <alignment horizontal="right" vertical="center"/>
    </xf>
    <xf numFmtId="0" fontId="6" fillId="0" borderId="39" xfId="5" applyFont="1" applyBorder="1" applyAlignment="1">
      <alignment horizontal="center" vertical="center" wrapText="1"/>
    </xf>
    <xf numFmtId="0" fontId="8" fillId="0" borderId="36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10" fontId="10" fillId="0" borderId="12" xfId="2" applyNumberFormat="1" applyFont="1" applyFill="1" applyBorder="1" applyAlignment="1" applyProtection="1">
      <alignment horizontal="right" vertical="center" wrapText="1"/>
    </xf>
    <xf numFmtId="10" fontId="10" fillId="0" borderId="16" xfId="2" applyNumberFormat="1" applyFont="1" applyFill="1" applyBorder="1" applyAlignment="1" applyProtection="1">
      <alignment horizontal="right" vertical="center"/>
    </xf>
    <xf numFmtId="10" fontId="10" fillId="0" borderId="60" xfId="3" applyNumberFormat="1" applyFont="1" applyFill="1" applyBorder="1" applyAlignment="1" applyProtection="1">
      <alignment horizontal="right" vertical="center"/>
    </xf>
    <xf numFmtId="10" fontId="11" fillId="0" borderId="60" xfId="3" applyNumberFormat="1" applyFont="1" applyFill="1" applyBorder="1" applyAlignment="1" applyProtection="1">
      <alignment horizontal="right" vertical="center"/>
    </xf>
    <xf numFmtId="10" fontId="11" fillId="0" borderId="65" xfId="3" applyNumberFormat="1" applyFont="1" applyFill="1" applyBorder="1" applyAlignment="1" applyProtection="1">
      <alignment horizontal="right" vertical="center"/>
    </xf>
    <xf numFmtId="10" fontId="11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>
      <alignment horizontal="right" vertical="center"/>
    </xf>
    <xf numFmtId="10" fontId="11" fillId="0" borderId="65" xfId="3" applyNumberFormat="1" applyFont="1" applyFill="1" applyBorder="1" applyAlignment="1">
      <alignment horizontal="right" vertical="center"/>
    </xf>
    <xf numFmtId="10" fontId="11" fillId="0" borderId="16" xfId="3" applyNumberFormat="1" applyFont="1" applyFill="1" applyBorder="1" applyAlignment="1">
      <alignment horizontal="right" vertical="center"/>
    </xf>
    <xf numFmtId="10" fontId="11" fillId="0" borderId="67" xfId="3" applyNumberFormat="1" applyFont="1" applyFill="1" applyBorder="1" applyAlignment="1">
      <alignment horizontal="right" vertical="center"/>
    </xf>
    <xf numFmtId="43" fontId="8" fillId="0" borderId="0" xfId="1" applyFont="1" applyFill="1" applyAlignment="1">
      <alignment vertical="center"/>
    </xf>
    <xf numFmtId="43" fontId="10" fillId="0" borderId="0" xfId="1" applyFont="1" applyFill="1" applyBorder="1" applyAlignment="1" applyProtection="1">
      <alignment horizontal="left" vertical="center"/>
    </xf>
    <xf numFmtId="43" fontId="10" fillId="0" borderId="0" xfId="1" applyFont="1" applyFill="1" applyBorder="1" applyAlignment="1" applyProtection="1">
      <alignment horizontal="right" vertical="center"/>
    </xf>
    <xf numFmtId="43" fontId="11" fillId="0" borderId="14" xfId="1" applyFont="1" applyFill="1" applyBorder="1" applyAlignment="1" applyProtection="1">
      <alignment horizontal="left" vertical="center"/>
    </xf>
    <xf numFmtId="43" fontId="10" fillId="0" borderId="15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left" vertical="center"/>
    </xf>
    <xf numFmtId="43" fontId="11" fillId="0" borderId="14" xfId="1" applyFont="1" applyFill="1" applyBorder="1" applyAlignment="1" applyProtection="1">
      <alignment horizontal="right" vertical="center"/>
    </xf>
    <xf numFmtId="43" fontId="10" fillId="0" borderId="14" xfId="1" applyFont="1" applyBorder="1" applyAlignment="1" applyProtection="1">
      <alignment horizontal="right" vertical="center"/>
    </xf>
    <xf numFmtId="43" fontId="11" fillId="0" borderId="14" xfId="1" applyFont="1" applyBorder="1" applyAlignment="1" applyProtection="1">
      <alignment horizontal="right" vertical="center"/>
    </xf>
    <xf numFmtId="43" fontId="11" fillId="0" borderId="15" xfId="1" applyFont="1" applyBorder="1" applyAlignment="1" applyProtection="1">
      <alignment horizontal="right" vertical="center"/>
    </xf>
    <xf numFmtId="43" fontId="6" fillId="3" borderId="38" xfId="1" applyFont="1" applyFill="1" applyBorder="1" applyAlignment="1" applyProtection="1">
      <alignment horizontal="left" vertical="center" wrapText="1"/>
    </xf>
    <xf numFmtId="43" fontId="8" fillId="0" borderId="39" xfId="1" applyFont="1" applyFill="1" applyBorder="1" applyAlignment="1" applyProtection="1">
      <alignment horizontal="right" vertical="center"/>
    </xf>
    <xf numFmtId="43" fontId="6" fillId="0" borderId="39" xfId="1" applyFont="1" applyFill="1" applyBorder="1" applyAlignment="1" applyProtection="1">
      <alignment horizontal="right" vertical="center" wrapText="1"/>
    </xf>
    <xf numFmtId="43" fontId="8" fillId="3" borderId="38" xfId="1" applyFont="1" applyFill="1" applyBorder="1" applyAlignment="1" applyProtection="1">
      <alignment horizontal="right" vertical="center" wrapText="1"/>
    </xf>
    <xf numFmtId="43" fontId="8" fillId="0" borderId="39" xfId="1" applyFont="1" applyFill="1" applyBorder="1" applyAlignment="1" applyProtection="1">
      <alignment horizontal="right" vertical="center" wrapText="1"/>
    </xf>
    <xf numFmtId="43" fontId="8" fillId="0" borderId="44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>
      <alignment vertical="center"/>
    </xf>
    <xf numFmtId="43" fontId="8" fillId="0" borderId="38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>
      <alignment horizontal="right" vertical="center"/>
    </xf>
    <xf numFmtId="0" fontId="11" fillId="35" borderId="34" xfId="5" applyFont="1" applyFill="1" applyBorder="1" applyAlignment="1">
      <alignment horizontal="center" vertical="center"/>
    </xf>
    <xf numFmtId="0" fontId="50" fillId="0" borderId="5" xfId="5" applyFont="1" applyBorder="1" applyAlignment="1">
      <alignment horizontal="center" vertical="center" wrapText="1"/>
    </xf>
    <xf numFmtId="0" fontId="51" fillId="0" borderId="5" xfId="5" applyFont="1" applyBorder="1" applyAlignment="1">
      <alignment horizontal="center" vertical="center" wrapText="1"/>
    </xf>
    <xf numFmtId="0" fontId="47" fillId="0" borderId="7" xfId="5" applyFont="1" applyBorder="1" applyAlignment="1">
      <alignment horizontal="center" vertical="center" wrapText="1"/>
    </xf>
    <xf numFmtId="0" fontId="55" fillId="0" borderId="7" xfId="5" applyFont="1" applyBorder="1" applyAlignment="1">
      <alignment horizontal="center" vertical="center" wrapText="1"/>
    </xf>
    <xf numFmtId="0" fontId="47" fillId="24" borderId="7" xfId="5" applyFont="1" applyFill="1" applyBorder="1" applyAlignment="1">
      <alignment horizontal="center" vertical="center" wrapText="1"/>
    </xf>
    <xf numFmtId="0" fontId="50" fillId="0" borderId="7" xfId="5" applyFont="1" applyBorder="1" applyAlignment="1">
      <alignment horizontal="center" vertical="center" wrapText="1"/>
    </xf>
    <xf numFmtId="0" fontId="57" fillId="0" borderId="7" xfId="5" applyFont="1" applyBorder="1" applyAlignment="1">
      <alignment horizontal="center" vertical="center" wrapText="1"/>
    </xf>
    <xf numFmtId="0" fontId="50" fillId="0" borderId="7" xfId="5" quotePrefix="1" applyFont="1" applyBorder="1" applyAlignment="1">
      <alignment horizontal="center" vertical="center" wrapText="1"/>
    </xf>
    <xf numFmtId="0" fontId="50" fillId="24" borderId="7" xfId="5" applyFont="1" applyFill="1" applyBorder="1" applyAlignment="1">
      <alignment horizontal="center" vertical="center" wrapText="1"/>
    </xf>
    <xf numFmtId="0" fontId="47" fillId="24" borderId="68" xfId="5" applyFont="1" applyFill="1" applyBorder="1" applyAlignment="1">
      <alignment horizontal="center" vertical="center" wrapText="1"/>
    </xf>
    <xf numFmtId="0" fontId="42" fillId="3" borderId="31" xfId="4" applyFont="1" applyFill="1" applyBorder="1" applyAlignment="1">
      <alignment horizontal="center" vertical="center"/>
    </xf>
    <xf numFmtId="164" fontId="53" fillId="0" borderId="0" xfId="116" applyFont="1" applyFill="1" applyBorder="1" applyAlignment="1">
      <alignment horizontal="right" vertical="center" wrapText="1"/>
    </xf>
    <xf numFmtId="164" fontId="59" fillId="0" borderId="0" xfId="116" applyFont="1" applyFill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2" borderId="6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14" fillId="2" borderId="20" xfId="0" quotePrefix="1" applyFont="1" applyFill="1" applyBorder="1" applyAlignment="1">
      <alignment horizontal="left" vertical="center"/>
    </xf>
    <xf numFmtId="0" fontId="14" fillId="2" borderId="21" xfId="0" quotePrefix="1" applyFont="1" applyFill="1" applyBorder="1" applyAlignment="1">
      <alignment horizontal="left" vertical="center"/>
    </xf>
    <xf numFmtId="1" fontId="11" fillId="35" borderId="30" xfId="4" applyNumberFormat="1" applyFont="1" applyFill="1" applyBorder="1" applyAlignment="1">
      <alignment horizontal="center" vertical="center"/>
    </xf>
    <xf numFmtId="43" fontId="0" fillId="0" borderId="0" xfId="1" applyFont="1"/>
    <xf numFmtId="0" fontId="6" fillId="3" borderId="46" xfId="5" applyFont="1" applyFill="1" applyBorder="1" applyAlignment="1">
      <alignment horizontal="left" vertical="center" wrapText="1"/>
    </xf>
    <xf numFmtId="1" fontId="11" fillId="35" borderId="31" xfId="4" applyNumberFormat="1" applyFont="1" applyFill="1" applyBorder="1" applyAlignment="1">
      <alignment horizontal="center" vertical="center"/>
    </xf>
    <xf numFmtId="1" fontId="11" fillId="35" borderId="32" xfId="4" applyNumberFormat="1" applyFont="1" applyFill="1" applyBorder="1" applyAlignment="1">
      <alignment horizontal="center" vertical="center"/>
    </xf>
    <xf numFmtId="0" fontId="11" fillId="3" borderId="36" xfId="5" applyFont="1" applyFill="1" applyBorder="1" applyAlignment="1">
      <alignment horizontal="center" vertical="center" wrapText="1"/>
    </xf>
    <xf numFmtId="0" fontId="11" fillId="3" borderId="37" xfId="5" applyFont="1" applyFill="1" applyBorder="1" applyAlignment="1">
      <alignment horizontal="center" vertical="center" wrapText="1"/>
    </xf>
    <xf numFmtId="0" fontId="11" fillId="0" borderId="3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36" xfId="5" applyFont="1" applyBorder="1" applyAlignment="1">
      <alignment horizontal="center" vertical="center" wrapText="1"/>
    </xf>
    <xf numFmtId="0" fontId="11" fillId="0" borderId="37" xfId="5" applyFont="1" applyBorder="1" applyAlignment="1">
      <alignment horizontal="center" vertical="center" wrapText="1"/>
    </xf>
    <xf numFmtId="0" fontId="11" fillId="0" borderId="15" xfId="5" applyFont="1" applyBorder="1" applyAlignment="1">
      <alignment horizontal="center" vertical="center"/>
    </xf>
    <xf numFmtId="0" fontId="11" fillId="3" borderId="6" xfId="5" applyFont="1" applyFill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center" vertical="center" wrapText="1"/>
    </xf>
    <xf numFmtId="0" fontId="11" fillId="0" borderId="43" xfId="5" applyFont="1" applyBorder="1" applyAlignment="1">
      <alignment horizontal="center" vertical="center"/>
    </xf>
    <xf numFmtId="0" fontId="63" fillId="0" borderId="0" xfId="0" applyFont="1"/>
    <xf numFmtId="164" fontId="50" fillId="24" borderId="34" xfId="116" applyFont="1" applyFill="1" applyBorder="1" applyAlignment="1" applyProtection="1">
      <alignment horizontal="center" vertical="center" wrapText="1"/>
    </xf>
    <xf numFmtId="164" fontId="50" fillId="0" borderId="0" xfId="116" applyFont="1" applyFill="1" applyBorder="1" applyAlignment="1" applyProtection="1">
      <alignment horizontal="center" vertical="center" wrapText="1"/>
    </xf>
    <xf numFmtId="0" fontId="7" fillId="0" borderId="0" xfId="0" applyFont="1"/>
    <xf numFmtId="0" fontId="47" fillId="24" borderId="0" xfId="4" applyFont="1" applyFill="1" applyAlignment="1">
      <alignment vertical="center" wrapText="1"/>
    </xf>
    <xf numFmtId="0" fontId="7" fillId="0" borderId="0" xfId="80" applyAlignment="1">
      <alignment vertical="center"/>
    </xf>
    <xf numFmtId="49" fontId="67" fillId="36" borderId="78" xfId="80" applyNumberFormat="1" applyFont="1" applyFill="1" applyBorder="1" applyAlignment="1">
      <alignment horizontal="center" vertical="center" wrapText="1"/>
    </xf>
    <xf numFmtId="49" fontId="62" fillId="0" borderId="81" xfId="80" applyNumberFormat="1" applyFont="1" applyBorder="1" applyAlignment="1">
      <alignment vertical="center" wrapText="1"/>
    </xf>
    <xf numFmtId="0" fontId="62" fillId="0" borderId="74" xfId="80" applyFont="1" applyBorder="1" applyAlignment="1">
      <alignment horizontal="left" vertical="center" wrapText="1"/>
    </xf>
    <xf numFmtId="49" fontId="62" fillId="0" borderId="74" xfId="80" applyNumberFormat="1" applyFont="1" applyBorder="1" applyAlignment="1">
      <alignment horizontal="left" vertical="center" wrapText="1"/>
    </xf>
    <xf numFmtId="49" fontId="62" fillId="0" borderId="74" xfId="80" applyNumberFormat="1" applyFont="1" applyBorder="1" applyAlignment="1">
      <alignment vertical="center" wrapText="1"/>
    </xf>
    <xf numFmtId="49" fontId="62" fillId="24" borderId="74" xfId="80" applyNumberFormat="1" applyFont="1" applyFill="1" applyBorder="1" applyAlignment="1">
      <alignment vertical="center" wrapText="1"/>
    </xf>
    <xf numFmtId="49" fontId="62" fillId="24" borderId="82" xfId="80" applyNumberFormat="1" applyFont="1" applyFill="1" applyBorder="1" applyAlignment="1">
      <alignment horizontal="left" vertical="center" wrapText="1"/>
    </xf>
    <xf numFmtId="49" fontId="68" fillId="4" borderId="84" xfId="80" applyNumberFormat="1" applyFont="1" applyFill="1" applyBorder="1" applyAlignment="1">
      <alignment horizontal="left" vertical="center" wrapText="1"/>
    </xf>
    <xf numFmtId="49" fontId="61" fillId="24" borderId="86" xfId="80" applyNumberFormat="1" applyFont="1" applyFill="1" applyBorder="1" applyAlignment="1">
      <alignment horizontal="left" vertical="center" wrapText="1"/>
    </xf>
    <xf numFmtId="49" fontId="61" fillId="24" borderId="87" xfId="80" applyNumberFormat="1" applyFont="1" applyFill="1" applyBorder="1" applyAlignment="1">
      <alignment horizontal="left" vertical="center" wrapText="1"/>
    </xf>
    <xf numFmtId="49" fontId="61" fillId="24" borderId="88" xfId="80" applyNumberFormat="1" applyFont="1" applyFill="1" applyBorder="1" applyAlignment="1">
      <alignment horizontal="left" vertical="center" wrapText="1"/>
    </xf>
    <xf numFmtId="49" fontId="61" fillId="24" borderId="71" xfId="80" applyNumberFormat="1" applyFont="1" applyFill="1" applyBorder="1" applyAlignment="1">
      <alignment horizontal="left" vertical="center" wrapText="1"/>
    </xf>
    <xf numFmtId="0" fontId="62" fillId="0" borderId="81" xfId="80" applyFont="1" applyBorder="1" applyAlignment="1">
      <alignment vertical="center"/>
    </xf>
    <xf numFmtId="0" fontId="7" fillId="0" borderId="74" xfId="80" applyBorder="1" applyAlignment="1">
      <alignment vertical="center"/>
    </xf>
    <xf numFmtId="0" fontId="63" fillId="0" borderId="75" xfId="80" quotePrefix="1" applyFont="1" applyBorder="1" applyAlignment="1">
      <alignment horizontal="center" vertical="center"/>
    </xf>
    <xf numFmtId="0" fontId="7" fillId="24" borderId="74" xfId="80" applyFill="1" applyBorder="1" applyAlignment="1">
      <alignment vertical="center"/>
    </xf>
    <xf numFmtId="0" fontId="62" fillId="0" borderId="74" xfId="80" applyFont="1" applyBorder="1" applyAlignment="1">
      <alignment vertical="center"/>
    </xf>
    <xf numFmtId="49" fontId="63" fillId="0" borderId="74" xfId="80" applyNumberFormat="1" applyFont="1" applyBorder="1" applyAlignment="1">
      <alignment horizontal="left" vertical="center"/>
    </xf>
    <xf numFmtId="0" fontId="63" fillId="0" borderId="75" xfId="80" applyFont="1" applyBorder="1" applyAlignment="1">
      <alignment horizontal="center" vertical="center"/>
    </xf>
    <xf numFmtId="49" fontId="62" fillId="0" borderId="74" xfId="80" applyNumberFormat="1" applyFont="1" applyBorder="1" applyAlignment="1">
      <alignment vertical="center"/>
    </xf>
    <xf numFmtId="0" fontId="63" fillId="0" borderId="74" xfId="80" applyFont="1" applyBorder="1" applyAlignment="1">
      <alignment horizontal="left" vertical="center"/>
    </xf>
    <xf numFmtId="0" fontId="63" fillId="24" borderId="74" xfId="80" applyFont="1" applyFill="1" applyBorder="1" applyAlignment="1">
      <alignment horizontal="left" vertical="center"/>
    </xf>
    <xf numFmtId="0" fontId="62" fillId="0" borderId="74" xfId="80" applyFont="1" applyBorder="1" applyAlignment="1">
      <alignment horizontal="left" vertical="center"/>
    </xf>
    <xf numFmtId="49" fontId="62" fillId="0" borderId="74" xfId="80" applyNumberFormat="1" applyFont="1" applyBorder="1" applyAlignment="1">
      <alignment horizontal="left" vertical="center"/>
    </xf>
    <xf numFmtId="49" fontId="62" fillId="24" borderId="74" xfId="80" applyNumberFormat="1" applyFont="1" applyFill="1" applyBorder="1" applyAlignment="1">
      <alignment vertical="center"/>
    </xf>
    <xf numFmtId="49" fontId="62" fillId="24" borderId="82" xfId="80" applyNumberFormat="1" applyFont="1" applyFill="1" applyBorder="1" applyAlignment="1">
      <alignment vertical="center"/>
    </xf>
    <xf numFmtId="0" fontId="68" fillId="4" borderId="84" xfId="80" applyFont="1" applyFill="1" applyBorder="1" applyAlignment="1">
      <alignment horizontal="left" vertical="center" wrapText="1"/>
    </xf>
    <xf numFmtId="0" fontId="68" fillId="37" borderId="89" xfId="80" applyFont="1" applyFill="1" applyBorder="1" applyAlignment="1">
      <alignment horizontal="left" vertical="center" wrapText="1"/>
    </xf>
    <xf numFmtId="0" fontId="7" fillId="37" borderId="90" xfId="80" applyFill="1" applyBorder="1" applyAlignment="1">
      <alignment vertical="center"/>
    </xf>
    <xf numFmtId="49" fontId="7" fillId="0" borderId="91" xfId="5" applyNumberFormat="1" applyBorder="1" applyAlignment="1">
      <alignment horizontal="center" vertical="center" wrapText="1"/>
    </xf>
    <xf numFmtId="49" fontId="7" fillId="0" borderId="92" xfId="5" applyNumberFormat="1" applyBorder="1" applyAlignment="1">
      <alignment horizontal="center" vertical="center" wrapText="1"/>
    </xf>
    <xf numFmtId="43" fontId="7" fillId="24" borderId="92" xfId="126" applyFont="1" applyFill="1" applyBorder="1" applyAlignment="1" applyProtection="1">
      <alignment horizontal="center" vertical="center" wrapText="1"/>
    </xf>
    <xf numFmtId="49" fontId="7" fillId="24" borderId="92" xfId="5" applyNumberFormat="1" applyFill="1" applyBorder="1" applyAlignment="1">
      <alignment horizontal="center" vertical="center" wrapText="1"/>
    </xf>
    <xf numFmtId="49" fontId="7" fillId="24" borderId="93" xfId="5" applyNumberFormat="1" applyFill="1" applyBorder="1" applyAlignment="1">
      <alignment horizontal="center" vertical="center" wrapText="1"/>
    </xf>
    <xf numFmtId="49" fontId="62" fillId="4" borderId="94" xfId="80" applyNumberFormat="1" applyFont="1" applyFill="1" applyBorder="1" applyAlignment="1">
      <alignment horizontal="left" vertical="center" wrapText="1"/>
    </xf>
    <xf numFmtId="0" fontId="0" fillId="0" borderId="3" xfId="0" applyBorder="1"/>
    <xf numFmtId="0" fontId="7" fillId="24" borderId="91" xfId="80" applyFill="1" applyBorder="1" applyAlignment="1">
      <alignment horizontal="center" vertical="center"/>
    </xf>
    <xf numFmtId="49" fontId="7" fillId="0" borderId="92" xfId="80" applyNumberFormat="1" applyBorder="1" applyAlignment="1">
      <alignment horizontal="center" vertical="center" wrapText="1"/>
    </xf>
    <xf numFmtId="49" fontId="7" fillId="0" borderId="92" xfId="80" applyNumberFormat="1" applyBorder="1" applyAlignment="1">
      <alignment horizontal="center" vertical="center"/>
    </xf>
    <xf numFmtId="49" fontId="7" fillId="24" borderId="92" xfId="80" applyNumberFormat="1" applyFill="1" applyBorder="1" applyAlignment="1">
      <alignment horizontal="center" vertical="center"/>
    </xf>
    <xf numFmtId="3" fontId="7" fillId="0" borderId="92" xfId="80" applyNumberFormat="1" applyBorder="1" applyAlignment="1">
      <alignment horizontal="center" vertical="center" wrapText="1"/>
    </xf>
    <xf numFmtId="0" fontId="7" fillId="0" borderId="92" xfId="80" applyBorder="1" applyAlignment="1">
      <alignment horizontal="center" vertical="center"/>
    </xf>
    <xf numFmtId="0" fontId="7" fillId="24" borderId="92" xfId="80" applyFill="1" applyBorder="1" applyAlignment="1">
      <alignment horizontal="center" vertical="center" wrapText="1"/>
    </xf>
    <xf numFmtId="0" fontId="7" fillId="0" borderId="92" xfId="80" quotePrefix="1" applyBorder="1" applyAlignment="1">
      <alignment horizontal="center" vertical="center"/>
    </xf>
    <xf numFmtId="0" fontId="7" fillId="0" borderId="92" xfId="80" quotePrefix="1" applyBorder="1" applyAlignment="1">
      <alignment horizontal="center" vertical="center" wrapText="1"/>
    </xf>
    <xf numFmtId="0" fontId="7" fillId="24" borderId="93" xfId="80" quotePrefix="1" applyFill="1" applyBorder="1" applyAlignment="1">
      <alignment horizontal="center" vertical="center" wrapText="1"/>
    </xf>
    <xf numFmtId="49" fontId="61" fillId="4" borderId="94" xfId="80" applyNumberFormat="1" applyFont="1" applyFill="1" applyBorder="1" applyAlignment="1">
      <alignment horizontal="left" vertical="center" wrapText="1"/>
    </xf>
    <xf numFmtId="0" fontId="69" fillId="36" borderId="72" xfId="80" applyFont="1" applyFill="1" applyBorder="1" applyAlignment="1">
      <alignment horizontal="center" vertical="center"/>
    </xf>
    <xf numFmtId="0" fontId="69" fillId="36" borderId="75" xfId="80" applyFont="1" applyFill="1" applyBorder="1" applyAlignment="1">
      <alignment horizontal="center" vertical="center"/>
    </xf>
    <xf numFmtId="0" fontId="69" fillId="36" borderId="79" xfId="80" applyFont="1" applyFill="1" applyBorder="1" applyAlignment="1">
      <alignment horizontal="center" vertical="center"/>
    </xf>
    <xf numFmtId="2" fontId="69" fillId="0" borderId="77" xfId="5" applyNumberFormat="1" applyFont="1" applyBorder="1" applyAlignment="1">
      <alignment horizontal="center" vertical="center" wrapText="1"/>
    </xf>
    <xf numFmtId="1" fontId="69" fillId="0" borderId="75" xfId="5" applyNumberFormat="1" applyFont="1" applyBorder="1" applyAlignment="1">
      <alignment horizontal="center" vertical="center" wrapText="1"/>
    </xf>
    <xf numFmtId="1" fontId="69" fillId="0" borderId="83" xfId="5" applyNumberFormat="1" applyFont="1" applyBorder="1" applyAlignment="1">
      <alignment horizontal="center" vertical="center" wrapText="1"/>
    </xf>
    <xf numFmtId="49" fontId="70" fillId="4" borderId="85" xfId="80" applyNumberFormat="1" applyFont="1" applyFill="1" applyBorder="1" applyAlignment="1">
      <alignment horizontal="center" vertical="center" wrapText="1"/>
    </xf>
    <xf numFmtId="49" fontId="69" fillId="24" borderId="87" xfId="80" applyNumberFormat="1" applyFont="1" applyFill="1" applyBorder="1" applyAlignment="1">
      <alignment horizontal="left" vertical="center" wrapText="1"/>
    </xf>
    <xf numFmtId="49" fontId="69" fillId="24" borderId="71" xfId="80" applyNumberFormat="1" applyFont="1" applyFill="1" applyBorder="1" applyAlignment="1">
      <alignment horizontal="left" vertical="center" wrapText="1"/>
    </xf>
    <xf numFmtId="49" fontId="69" fillId="36" borderId="79" xfId="80" applyNumberFormat="1" applyFont="1" applyFill="1" applyBorder="1" applyAlignment="1">
      <alignment horizontal="center" vertical="center" wrapText="1"/>
    </xf>
    <xf numFmtId="49" fontId="69" fillId="0" borderId="77" xfId="80" applyNumberFormat="1" applyFont="1" applyBorder="1" applyAlignment="1">
      <alignment horizontal="center" vertical="center" wrapText="1"/>
    </xf>
    <xf numFmtId="0" fontId="69" fillId="0" borderId="75" xfId="80" quotePrefix="1" applyFont="1" applyBorder="1" applyAlignment="1">
      <alignment horizontal="center" vertical="center"/>
    </xf>
    <xf numFmtId="0" fontId="69" fillId="0" borderId="75" xfId="80" quotePrefix="1" applyFont="1" applyBorder="1" applyAlignment="1">
      <alignment horizontal="center" vertical="center" wrapText="1"/>
    </xf>
    <xf numFmtId="0" fontId="69" fillId="0" borderId="83" xfId="80" quotePrefix="1" applyFont="1" applyBorder="1" applyAlignment="1">
      <alignment horizontal="center" vertical="center"/>
    </xf>
    <xf numFmtId="0" fontId="69" fillId="4" borderId="85" xfId="80" applyFont="1" applyFill="1" applyBorder="1" applyAlignment="1">
      <alignment horizontal="center" vertical="center" wrapText="1"/>
    </xf>
    <xf numFmtId="0" fontId="69" fillId="0" borderId="0" xfId="80" applyFont="1" applyAlignment="1">
      <alignment vertical="center"/>
    </xf>
    <xf numFmtId="0" fontId="69" fillId="37" borderId="90" xfId="80" applyFont="1" applyFill="1" applyBorder="1" applyAlignment="1">
      <alignment horizontal="center" vertical="center" wrapText="1"/>
    </xf>
    <xf numFmtId="0" fontId="50" fillId="0" borderId="30" xfId="5" applyFont="1" applyBorder="1" applyAlignment="1">
      <alignment horizontal="center" vertical="center" wrapText="1"/>
    </xf>
    <xf numFmtId="10" fontId="11" fillId="0" borderId="60" xfId="3" applyNumberFormat="1" applyFont="1" applyFill="1" applyBorder="1" applyAlignment="1">
      <alignment horizontal="right" vertical="center"/>
    </xf>
    <xf numFmtId="10" fontId="8" fillId="0" borderId="0" xfId="0" applyNumberFormat="1" applyFont="1" applyAlignment="1">
      <alignment horizontal="right" vertical="center" wrapText="1"/>
    </xf>
    <xf numFmtId="10" fontId="8" fillId="0" borderId="0" xfId="2" applyNumberFormat="1" applyFont="1" applyFill="1" applyAlignment="1">
      <alignment horizontal="right" vertical="center" wrapText="1"/>
    </xf>
    <xf numFmtId="166" fontId="8" fillId="0" borderId="0" xfId="2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35" borderId="35" xfId="5" applyFont="1" applyFill="1" applyBorder="1" applyAlignment="1">
      <alignment horizontal="center" vertical="center" wrapText="1"/>
    </xf>
    <xf numFmtId="0" fontId="6" fillId="35" borderId="33" xfId="5" applyFont="1" applyFill="1" applyBorder="1" applyAlignment="1">
      <alignment horizontal="center" vertical="center" wrapText="1"/>
    </xf>
    <xf numFmtId="0" fontId="8" fillId="0" borderId="37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6" fillId="0" borderId="37" xfId="5" applyFont="1" applyBorder="1" applyAlignment="1">
      <alignment horizontal="center" vertical="center" wrapText="1"/>
    </xf>
    <xf numFmtId="0" fontId="8" fillId="0" borderId="11" xfId="5" applyFont="1" applyBorder="1" applyAlignment="1">
      <alignment horizontal="center" vertical="center" wrapText="1"/>
    </xf>
    <xf numFmtId="0" fontId="6" fillId="0" borderId="29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left" vertical="center" wrapText="1"/>
    </xf>
    <xf numFmtId="0" fontId="8" fillId="0" borderId="3" xfId="5" applyFont="1" applyBorder="1" applyAlignment="1">
      <alignment horizontal="left" vertical="center" wrapText="1"/>
    </xf>
    <xf numFmtId="39" fontId="8" fillId="0" borderId="3" xfId="5" applyNumberFormat="1" applyFont="1" applyBorder="1" applyAlignment="1">
      <alignment horizontal="center" vertical="center" wrapText="1"/>
    </xf>
    <xf numFmtId="39" fontId="8" fillId="0" borderId="37" xfId="5" applyNumberFormat="1" applyFont="1" applyBorder="1" applyAlignment="1">
      <alignment horizontal="center" vertical="center" wrapText="1"/>
    </xf>
    <xf numFmtId="43" fontId="8" fillId="0" borderId="3" xfId="1" applyFont="1" applyFill="1" applyBorder="1" applyAlignment="1" applyProtection="1">
      <alignment horizontal="right" vertical="center" wrapText="1"/>
    </xf>
    <xf numFmtId="43" fontId="8" fillId="3" borderId="37" xfId="1" applyFont="1" applyFill="1" applyBorder="1" applyAlignment="1" applyProtection="1">
      <alignment horizontal="right" vertical="center" wrapText="1"/>
    </xf>
    <xf numFmtId="43" fontId="8" fillId="0" borderId="37" xfId="1" applyFont="1" applyFill="1" applyBorder="1" applyAlignment="1" applyProtection="1">
      <alignment horizontal="right" vertical="center" wrapText="1"/>
    </xf>
    <xf numFmtId="0" fontId="8" fillId="0" borderId="37" xfId="5" applyFont="1" applyBorder="1" applyAlignment="1">
      <alignment horizontal="left" vertical="center" wrapText="1"/>
    </xf>
    <xf numFmtId="0" fontId="17" fillId="0" borderId="3" xfId="5" applyFont="1" applyBorder="1" applyAlignment="1">
      <alignment horizontal="center" vertical="center" wrapText="1"/>
    </xf>
    <xf numFmtId="0" fontId="6" fillId="3" borderId="37" xfId="5" applyFont="1" applyFill="1" applyBorder="1" applyAlignment="1">
      <alignment horizontal="left" vertical="center" wrapText="1"/>
    </xf>
    <xf numFmtId="0" fontId="8" fillId="0" borderId="3" xfId="5" quotePrefix="1" applyFont="1" applyBorder="1" applyAlignment="1">
      <alignment horizontal="left" vertical="center" wrapText="1"/>
    </xf>
    <xf numFmtId="43" fontId="8" fillId="0" borderId="3" xfId="1" applyFont="1" applyFill="1" applyBorder="1" applyAlignment="1" applyProtection="1">
      <alignment horizontal="right" vertical="center"/>
    </xf>
    <xf numFmtId="43" fontId="6" fillId="3" borderId="37" xfId="1" applyFont="1" applyFill="1" applyBorder="1" applyAlignment="1" applyProtection="1">
      <alignment horizontal="right" vertical="center" wrapText="1"/>
    </xf>
    <xf numFmtId="0" fontId="6" fillId="0" borderId="3" xfId="6" applyFont="1" applyBorder="1" applyAlignment="1">
      <alignment vertical="center" wrapText="1"/>
    </xf>
    <xf numFmtId="43" fontId="8" fillId="0" borderId="3" xfId="1" applyFont="1" applyFill="1" applyBorder="1" applyAlignment="1">
      <alignment horizontal="right" vertical="center"/>
    </xf>
    <xf numFmtId="0" fontId="6" fillId="0" borderId="37" xfId="5" applyFont="1" applyBorder="1" applyAlignment="1">
      <alignment horizontal="left" vertical="center" wrapText="1"/>
    </xf>
    <xf numFmtId="43" fontId="8" fillId="3" borderId="3" xfId="1" applyFont="1" applyFill="1" applyBorder="1" applyAlignment="1" applyProtection="1">
      <alignment horizontal="right" vertical="center" wrapText="1"/>
    </xf>
    <xf numFmtId="0" fontId="6" fillId="0" borderId="3" xfId="5" applyFont="1" applyBorder="1" applyAlignment="1">
      <alignment horizontal="left" vertical="center"/>
    </xf>
    <xf numFmtId="0" fontId="8" fillId="0" borderId="3" xfId="5" applyFont="1" applyBorder="1" applyAlignment="1">
      <alignment horizontal="left" vertical="center"/>
    </xf>
    <xf numFmtId="43" fontId="8" fillId="0" borderId="37" xfId="1" applyFont="1" applyFill="1" applyBorder="1" applyAlignment="1" applyProtection="1">
      <alignment horizontal="right" vertical="center"/>
    </xf>
    <xf numFmtId="0" fontId="8" fillId="0" borderId="37" xfId="5" applyFont="1" applyBorder="1" applyAlignment="1">
      <alignment horizontal="center" vertical="center"/>
    </xf>
    <xf numFmtId="0" fontId="6" fillId="0" borderId="29" xfId="5" applyFont="1" applyBorder="1" applyAlignment="1">
      <alignment horizontal="left" vertical="center" wrapText="1"/>
    </xf>
    <xf numFmtId="43" fontId="8" fillId="0" borderId="29" xfId="1" applyFont="1" applyFill="1" applyBorder="1" applyAlignment="1" applyProtection="1">
      <alignment horizontal="right" vertical="center" wrapText="1"/>
    </xf>
    <xf numFmtId="0" fontId="17" fillId="0" borderId="37" xfId="5" applyFont="1" applyBorder="1" applyAlignment="1">
      <alignment horizontal="center" vertical="center" wrapText="1"/>
    </xf>
    <xf numFmtId="0" fontId="42" fillId="23" borderId="57" xfId="4" applyFont="1" applyFill="1" applyBorder="1" applyAlignment="1">
      <alignment horizontal="center" vertical="center"/>
    </xf>
    <xf numFmtId="0" fontId="64" fillId="0" borderId="0" xfId="0" applyFont="1"/>
    <xf numFmtId="0" fontId="49" fillId="24" borderId="0" xfId="4" applyFont="1" applyFill="1" applyAlignment="1">
      <alignment horizontal="center" vertical="center"/>
    </xf>
    <xf numFmtId="0" fontId="49" fillId="0" borderId="0" xfId="4" applyFont="1" applyAlignment="1">
      <alignment vertical="center"/>
    </xf>
    <xf numFmtId="0" fontId="11" fillId="3" borderId="46" xfId="5" applyFont="1" applyFill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 wrapText="1"/>
    </xf>
    <xf numFmtId="0" fontId="11" fillId="0" borderId="2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/>
    </xf>
    <xf numFmtId="0" fontId="11" fillId="0" borderId="46" xfId="5" applyFont="1" applyBorder="1" applyAlignment="1">
      <alignment horizontal="center" vertical="center" wrapText="1"/>
    </xf>
    <xf numFmtId="0" fontId="10" fillId="0" borderId="9" xfId="5" applyFont="1" applyBorder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0" fontId="11" fillId="3" borderId="1" xfId="5" applyFont="1" applyFill="1" applyBorder="1" applyAlignment="1">
      <alignment horizontal="center" vertical="center" wrapText="1"/>
    </xf>
    <xf numFmtId="0" fontId="11" fillId="0" borderId="19" xfId="5" applyFont="1" applyBorder="1" applyAlignment="1">
      <alignment horizontal="center" vertical="center"/>
    </xf>
    <xf numFmtId="43" fontId="8" fillId="0" borderId="39" xfId="1" applyFont="1" applyFill="1" applyBorder="1" applyAlignment="1" applyProtection="1">
      <alignment horizontal="center" vertical="center" wrapText="1"/>
    </xf>
    <xf numFmtId="0" fontId="71" fillId="0" borderId="39" xfId="5" applyFont="1" applyBorder="1" applyAlignment="1">
      <alignment horizontal="center" vertical="center"/>
    </xf>
    <xf numFmtId="10" fontId="10" fillId="0" borderId="7" xfId="2" quotePrefix="1" applyNumberFormat="1" applyFont="1" applyFill="1" applyBorder="1" applyAlignment="1" applyProtection="1">
      <alignment horizontal="center" vertical="center" wrapText="1"/>
    </xf>
    <xf numFmtId="175" fontId="6" fillId="0" borderId="0" xfId="1" applyNumberFormat="1" applyFont="1" applyAlignment="1">
      <alignment vertical="center"/>
    </xf>
    <xf numFmtId="175" fontId="6" fillId="0" borderId="0" xfId="1" applyNumberFormat="1" applyFont="1" applyFill="1" applyAlignment="1">
      <alignment vertical="center"/>
    </xf>
    <xf numFmtId="10" fontId="8" fillId="0" borderId="0" xfId="2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164" fontId="44" fillId="23" borderId="0" xfId="116" applyFont="1" applyFill="1" applyAlignment="1">
      <alignment vertical="center"/>
    </xf>
    <xf numFmtId="164" fontId="48" fillId="23" borderId="0" xfId="116" applyFont="1" applyFill="1" applyAlignment="1">
      <alignment horizontal="center" vertical="center" wrapText="1"/>
    </xf>
    <xf numFmtId="164" fontId="48" fillId="3" borderId="31" xfId="116" applyFont="1" applyFill="1" applyBorder="1" applyAlignment="1">
      <alignment horizontal="center" vertical="center"/>
    </xf>
    <xf numFmtId="164" fontId="44" fillId="23" borderId="24" xfId="116" applyFont="1" applyFill="1" applyBorder="1" applyAlignment="1">
      <alignment horizontal="center" vertical="center"/>
    </xf>
    <xf numFmtId="0" fontId="47" fillId="0" borderId="37" xfId="4" applyFont="1" applyBorder="1" applyAlignment="1">
      <alignment horizontal="center" vertical="center"/>
    </xf>
    <xf numFmtId="164" fontId="44" fillId="23" borderId="37" xfId="116" applyFont="1" applyFill="1" applyBorder="1" applyAlignment="1">
      <alignment horizontal="center" vertical="center"/>
    </xf>
    <xf numFmtId="164" fontId="44" fillId="23" borderId="0" xfId="116" applyFont="1" applyFill="1" applyBorder="1" applyAlignment="1">
      <alignment horizontal="center" vertical="center"/>
    </xf>
    <xf numFmtId="164" fontId="44" fillId="23" borderId="27" xfId="116" applyFont="1" applyFill="1" applyBorder="1" applyAlignment="1">
      <alignment horizontal="center" vertical="center"/>
    </xf>
    <xf numFmtId="164" fontId="48" fillId="23" borderId="24" xfId="116" applyFont="1" applyFill="1" applyBorder="1" applyAlignment="1">
      <alignment horizontal="center" vertical="center"/>
    </xf>
    <xf numFmtId="0" fontId="43" fillId="23" borderId="0" xfId="4" applyFont="1" applyFill="1" applyAlignment="1">
      <alignment vertical="center" wrapText="1"/>
    </xf>
    <xf numFmtId="0" fontId="72" fillId="23" borderId="0" xfId="4" applyFont="1" applyFill="1" applyAlignment="1">
      <alignment horizontal="center" vertical="center" wrapText="1"/>
    </xf>
    <xf numFmtId="0" fontId="46" fillId="24" borderId="0" xfId="4" applyFont="1" applyFill="1" applyAlignment="1">
      <alignment vertical="center" wrapText="1"/>
    </xf>
    <xf numFmtId="0" fontId="49" fillId="0" borderId="0" xfId="5" applyFont="1" applyAlignment="1">
      <alignment vertical="center"/>
    </xf>
    <xf numFmtId="0" fontId="47" fillId="0" borderId="0" xfId="4" applyFont="1" applyAlignment="1">
      <alignment horizontal="right" vertical="center"/>
    </xf>
    <xf numFmtId="0" fontId="49" fillId="0" borderId="0" xfId="4" applyFont="1" applyAlignment="1">
      <alignment horizontal="center" vertical="center"/>
    </xf>
    <xf numFmtId="0" fontId="46" fillId="0" borderId="0" xfId="4" applyFont="1" applyAlignment="1">
      <alignment vertical="center"/>
    </xf>
    <xf numFmtId="0" fontId="11" fillId="0" borderId="6" xfId="5" applyFont="1" applyBorder="1" applyAlignment="1">
      <alignment horizontal="center" vertical="center" wrapText="1"/>
    </xf>
    <xf numFmtId="0" fontId="11" fillId="0" borderId="11" xfId="5" applyFont="1" applyBorder="1" applyAlignment="1">
      <alignment horizontal="center" vertical="center" wrapText="1"/>
    </xf>
    <xf numFmtId="0" fontId="11" fillId="0" borderId="6" xfId="5" applyFont="1" applyBorder="1" applyAlignment="1">
      <alignment horizontal="center" vertical="center"/>
    </xf>
    <xf numFmtId="0" fontId="11" fillId="0" borderId="41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11" fillId="0" borderId="42" xfId="5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69" fillId="0" borderId="0" xfId="0" applyFont="1"/>
    <xf numFmtId="1" fontId="8" fillId="35" borderId="30" xfId="4" applyNumberFormat="1" applyFont="1" applyFill="1" applyBorder="1" applyAlignment="1">
      <alignment horizontal="center" vertical="center"/>
    </xf>
    <xf numFmtId="1" fontId="8" fillId="35" borderId="31" xfId="4" applyNumberFormat="1" applyFont="1" applyFill="1" applyBorder="1" applyAlignment="1">
      <alignment horizontal="center" vertical="center"/>
    </xf>
    <xf numFmtId="1" fontId="8" fillId="35" borderId="32" xfId="4" applyNumberFormat="1" applyFont="1" applyFill="1" applyBorder="1" applyAlignment="1">
      <alignment horizontal="center" vertical="center"/>
    </xf>
    <xf numFmtId="0" fontId="8" fillId="35" borderId="34" xfId="5" applyFont="1" applyFill="1" applyBorder="1" applyAlignment="1">
      <alignment horizontal="center" vertical="center"/>
    </xf>
    <xf numFmtId="0" fontId="8" fillId="3" borderId="36" xfId="5" applyFont="1" applyFill="1" applyBorder="1" applyAlignment="1">
      <alignment horizontal="center" vertical="center" wrapText="1"/>
    </xf>
    <xf numFmtId="0" fontId="8" fillId="3" borderId="37" xfId="5" applyFont="1" applyFill="1" applyBorder="1" applyAlignment="1">
      <alignment horizontal="center" vertical="center" wrapText="1"/>
    </xf>
    <xf numFmtId="0" fontId="8" fillId="3" borderId="3" xfId="5" applyFont="1" applyFill="1" applyBorder="1" applyAlignment="1">
      <alignment horizontal="center" vertical="center" wrapText="1"/>
    </xf>
    <xf numFmtId="0" fontId="8" fillId="0" borderId="26" xfId="5" applyFont="1" applyBorder="1" applyAlignment="1">
      <alignment horizontal="center" vertical="center" wrapText="1"/>
    </xf>
    <xf numFmtId="0" fontId="8" fillId="0" borderId="29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/>
    </xf>
    <xf numFmtId="0" fontId="7" fillId="0" borderId="0" xfId="0" applyFont="1" applyAlignment="1">
      <alignment wrapText="1"/>
    </xf>
    <xf numFmtId="43" fontId="8" fillId="38" borderId="37" xfId="1" applyFont="1" applyFill="1" applyBorder="1" applyAlignment="1" applyProtection="1">
      <alignment horizontal="right" vertical="center" wrapText="1"/>
    </xf>
    <xf numFmtId="43" fontId="8" fillId="38" borderId="3" xfId="1" applyFont="1" applyFill="1" applyBorder="1" applyAlignment="1" applyProtection="1">
      <alignment horizontal="right" vertical="center" wrapText="1"/>
    </xf>
    <xf numFmtId="43" fontId="8" fillId="38" borderId="39" xfId="1" applyFont="1" applyFill="1" applyBorder="1" applyAlignment="1" applyProtection="1">
      <alignment horizontal="left" vertical="center" wrapText="1"/>
    </xf>
    <xf numFmtId="43" fontId="8" fillId="38" borderId="39" xfId="1" applyFont="1" applyFill="1" applyBorder="1" applyAlignment="1" applyProtection="1">
      <alignment horizontal="right" vertical="center" wrapText="1"/>
    </xf>
    <xf numFmtId="175" fontId="9" fillId="0" borderId="101" xfId="1" applyNumberFormat="1" applyFont="1" applyFill="1" applyBorder="1" applyAlignment="1" applyProtection="1">
      <alignment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66" fontId="10" fillId="0" borderId="17" xfId="2" quotePrefix="1" applyNumberFormat="1" applyFont="1" applyFill="1" applyBorder="1" applyAlignment="1" applyProtection="1">
      <alignment vertical="center"/>
    </xf>
    <xf numFmtId="164" fontId="47" fillId="0" borderId="0" xfId="5" applyNumberFormat="1" applyFont="1" applyAlignment="1">
      <alignment vertical="center"/>
    </xf>
    <xf numFmtId="10" fontId="10" fillId="0" borderId="60" xfId="3" applyNumberFormat="1" applyFont="1" applyFill="1" applyBorder="1" applyAlignment="1">
      <alignment horizontal="right" vertical="center"/>
    </xf>
    <xf numFmtId="0" fontId="8" fillId="0" borderId="0" xfId="80" applyFont="1" applyAlignment="1">
      <alignment vertical="center"/>
    </xf>
    <xf numFmtId="20" fontId="8" fillId="0" borderId="0" xfId="80" applyNumberFormat="1" applyFont="1" applyAlignment="1">
      <alignment horizontal="center" vertical="center"/>
    </xf>
    <xf numFmtId="0" fontId="6" fillId="0" borderId="0" xfId="80" applyFont="1" applyAlignment="1">
      <alignment vertical="center"/>
    </xf>
    <xf numFmtId="0" fontId="10" fillId="0" borderId="0" xfId="80" applyFont="1" applyAlignment="1">
      <alignment horizontal="right" vertical="center"/>
    </xf>
    <xf numFmtId="3" fontId="10" fillId="0" borderId="0" xfId="1" applyNumberFormat="1" applyFont="1" applyBorder="1" applyAlignment="1">
      <alignment horizontal="right" vertical="center"/>
    </xf>
    <xf numFmtId="3" fontId="10" fillId="0" borderId="0" xfId="1" applyNumberFormat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3" fontId="11" fillId="0" borderId="0" xfId="80" applyNumberFormat="1" applyFont="1" applyAlignment="1">
      <alignment horizontal="center" vertical="center"/>
    </xf>
    <xf numFmtId="175" fontId="10" fillId="0" borderId="3" xfId="1" quotePrefix="1" applyNumberFormat="1" applyFont="1" applyFill="1" applyBorder="1" applyAlignment="1" applyProtection="1">
      <alignment horizontal="center" vertical="center" wrapText="1"/>
    </xf>
    <xf numFmtId="3" fontId="10" fillId="0" borderId="7" xfId="2" quotePrefix="1" applyNumberFormat="1" applyFont="1" applyFill="1" applyBorder="1" applyAlignment="1" applyProtection="1">
      <alignment horizontal="center" vertical="center" wrapText="1"/>
    </xf>
    <xf numFmtId="0" fontId="6" fillId="0" borderId="13" xfId="80" applyFont="1" applyBorder="1" applyAlignment="1">
      <alignment horizontal="center" vertical="center" wrapText="1"/>
    </xf>
    <xf numFmtId="0" fontId="6" fillId="0" borderId="0" xfId="80" applyFont="1" applyAlignment="1">
      <alignment horizontal="center" vertical="center" wrapText="1"/>
    </xf>
    <xf numFmtId="174" fontId="6" fillId="0" borderId="9" xfId="118" applyFont="1" applyBorder="1" applyAlignment="1">
      <alignment horizontal="left" vertical="center"/>
    </xf>
    <xf numFmtId="166" fontId="10" fillId="0" borderId="9" xfId="80" applyNumberFormat="1" applyFont="1" applyBorder="1" applyAlignment="1">
      <alignment horizontal="right" vertical="center" wrapText="1"/>
    </xf>
    <xf numFmtId="166" fontId="10" fillId="0" borderId="0" xfId="80" applyNumberFormat="1" applyFont="1" applyAlignment="1">
      <alignment horizontal="right" vertical="center" wrapText="1"/>
    </xf>
    <xf numFmtId="3" fontId="10" fillId="0" borderId="11" xfId="1" applyNumberFormat="1" applyFont="1" applyBorder="1" applyAlignment="1" applyProtection="1">
      <alignment horizontal="right" vertical="center" wrapText="1"/>
    </xf>
    <xf numFmtId="175" fontId="10" fillId="0" borderId="11" xfId="1" applyNumberFormat="1" applyFont="1" applyBorder="1" applyAlignment="1" applyProtection="1">
      <alignment horizontal="right" vertical="center" wrapText="1"/>
    </xf>
    <xf numFmtId="10" fontId="10" fillId="0" borderId="12" xfId="3" applyNumberFormat="1" applyFont="1" applyFill="1" applyBorder="1" applyAlignment="1" applyProtection="1">
      <alignment horizontal="right" vertical="center" wrapText="1"/>
    </xf>
    <xf numFmtId="43" fontId="11" fillId="0" borderId="13" xfId="1" applyFont="1" applyBorder="1" applyAlignment="1" applyProtection="1">
      <alignment horizontal="center" vertical="center"/>
    </xf>
    <xf numFmtId="43" fontId="11" fillId="0" borderId="14" xfId="1" applyFont="1" applyBorder="1" applyAlignment="1" applyProtection="1">
      <alignment horizontal="left" vertical="center"/>
    </xf>
    <xf numFmtId="43" fontId="11" fillId="0" borderId="0" xfId="1" applyFont="1" applyBorder="1" applyAlignment="1" applyProtection="1">
      <alignment horizontal="center" vertical="center"/>
    </xf>
    <xf numFmtId="43" fontId="11" fillId="0" borderId="0" xfId="1" applyFont="1" applyBorder="1" applyAlignment="1">
      <alignment vertical="center"/>
    </xf>
    <xf numFmtId="43" fontId="11" fillId="0" borderId="0" xfId="1" applyFont="1" applyBorder="1" applyAlignment="1" applyProtection="1">
      <alignment horizontal="right" vertical="center"/>
    </xf>
    <xf numFmtId="3" fontId="15" fillId="0" borderId="15" xfId="1" applyNumberFormat="1" applyFont="1" applyFill="1" applyBorder="1" applyAlignment="1" applyProtection="1">
      <alignment horizontal="right" vertical="center"/>
    </xf>
    <xf numFmtId="3" fontId="15" fillId="0" borderId="15" xfId="1" applyNumberFormat="1" applyFont="1" applyBorder="1" applyAlignment="1" applyProtection="1">
      <alignment horizontal="right" vertical="center"/>
    </xf>
    <xf numFmtId="175" fontId="15" fillId="0" borderId="15" xfId="1" applyNumberFormat="1" applyFont="1" applyBorder="1" applyAlignment="1" applyProtection="1">
      <alignment horizontal="right" vertical="center"/>
    </xf>
    <xf numFmtId="10" fontId="15" fillId="0" borderId="16" xfId="3" applyNumberFormat="1" applyFont="1" applyFill="1" applyBorder="1" applyAlignment="1" applyProtection="1">
      <alignment horizontal="right" vertical="center"/>
    </xf>
    <xf numFmtId="0" fontId="11" fillId="0" borderId="0" xfId="80" applyFont="1" applyAlignment="1">
      <alignment vertical="center"/>
    </xf>
    <xf numFmtId="43" fontId="11" fillId="0" borderId="13" xfId="1" applyFont="1" applyBorder="1" applyAlignment="1">
      <alignment vertical="center"/>
    </xf>
    <xf numFmtId="43" fontId="11" fillId="0" borderId="0" xfId="1" applyFont="1" applyFill="1" applyBorder="1" applyAlignment="1" applyProtection="1">
      <alignment horizontal="left" vertical="center"/>
    </xf>
    <xf numFmtId="3" fontId="11" fillId="0" borderId="15" xfId="1" applyNumberFormat="1" applyFont="1" applyFill="1" applyBorder="1" applyAlignment="1" applyProtection="1">
      <alignment horizontal="right" vertical="center"/>
    </xf>
    <xf numFmtId="175" fontId="11" fillId="0" borderId="15" xfId="1" applyNumberFormat="1" applyFont="1" applyBorder="1" applyAlignment="1" applyProtection="1">
      <alignment horizontal="right" vertical="center"/>
    </xf>
    <xf numFmtId="164" fontId="11" fillId="0" borderId="0" xfId="80" applyNumberFormat="1" applyFont="1" applyAlignment="1">
      <alignment vertical="center"/>
    </xf>
    <xf numFmtId="43" fontId="10" fillId="0" borderId="0" xfId="1" applyFont="1" applyBorder="1" applyAlignment="1" applyProtection="1">
      <alignment horizontal="center" vertical="center"/>
    </xf>
    <xf numFmtId="43" fontId="13" fillId="0" borderId="0" xfId="1" applyFont="1" applyFill="1" applyBorder="1" applyAlignment="1" applyProtection="1">
      <alignment horizontal="left" vertical="center"/>
    </xf>
    <xf numFmtId="43" fontId="10" fillId="0" borderId="0" xfId="1" applyFont="1" applyBorder="1" applyAlignment="1" applyProtection="1">
      <alignment horizontal="right" vertical="center"/>
    </xf>
    <xf numFmtId="3" fontId="13" fillId="0" borderId="15" xfId="1" applyNumberFormat="1" applyFont="1" applyFill="1" applyBorder="1" applyAlignment="1" applyProtection="1">
      <alignment horizontal="right" vertical="center"/>
    </xf>
    <xf numFmtId="10" fontId="13" fillId="0" borderId="16" xfId="3" applyNumberFormat="1" applyFont="1" applyFill="1" applyBorder="1" applyAlignment="1" applyProtection="1">
      <alignment horizontal="right" vertical="center"/>
    </xf>
    <xf numFmtId="0" fontId="10" fillId="0" borderId="0" xfId="80" applyFont="1" applyAlignment="1">
      <alignment vertical="center"/>
    </xf>
    <xf numFmtId="43" fontId="10" fillId="0" borderId="13" xfId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3" fontId="10" fillId="0" borderId="15" xfId="1" applyNumberFormat="1" applyFont="1" applyFill="1" applyBorder="1" applyAlignment="1" applyProtection="1">
      <alignment horizontal="right" vertical="center"/>
    </xf>
    <xf numFmtId="166" fontId="10" fillId="0" borderId="0" xfId="80" applyNumberFormat="1" applyFont="1" applyAlignment="1">
      <alignment vertical="center"/>
    </xf>
    <xf numFmtId="43" fontId="11" fillId="0" borderId="0" xfId="1" quotePrefix="1" applyFont="1" applyFill="1" applyBorder="1" applyAlignment="1" applyProtection="1">
      <alignment horizontal="left" vertical="center"/>
    </xf>
    <xf numFmtId="166" fontId="11" fillId="0" borderId="0" xfId="80" applyNumberFormat="1" applyFont="1" applyAlignment="1">
      <alignment vertical="center"/>
    </xf>
    <xf numFmtId="43" fontId="13" fillId="0" borderId="0" xfId="1" quotePrefix="1" applyFont="1" applyFill="1" applyBorder="1" applyAlignment="1" applyProtection="1">
      <alignment horizontal="left" vertical="center"/>
    </xf>
    <xf numFmtId="43" fontId="15" fillId="0" borderId="13" xfId="1" applyFont="1" applyBorder="1" applyAlignment="1" applyProtection="1">
      <alignment horizontal="center" vertical="center"/>
    </xf>
    <xf numFmtId="43" fontId="15" fillId="0" borderId="0" xfId="1" applyFont="1" applyBorder="1" applyAlignment="1" applyProtection="1">
      <alignment horizontal="center" vertical="center"/>
    </xf>
    <xf numFmtId="43" fontId="13" fillId="0" borderId="0" xfId="1" applyFont="1" applyBorder="1" applyAlignment="1" applyProtection="1">
      <alignment horizontal="center" vertical="center"/>
    </xf>
    <xf numFmtId="43" fontId="13" fillId="0" borderId="0" xfId="1" applyFont="1" applyBorder="1" applyAlignment="1" applyProtection="1">
      <alignment horizontal="left" vertical="center"/>
    </xf>
    <xf numFmtId="43" fontId="13" fillId="0" borderId="0" xfId="1" applyFont="1" applyBorder="1" applyAlignment="1">
      <alignment vertical="center"/>
    </xf>
    <xf numFmtId="43" fontId="13" fillId="0" borderId="0" xfId="1" applyFont="1" applyBorder="1" applyAlignment="1" applyProtection="1">
      <alignment horizontal="right" vertical="center"/>
    </xf>
    <xf numFmtId="0" fontId="13" fillId="0" borderId="0" xfId="80" applyFont="1" applyAlignment="1">
      <alignment vertical="center"/>
    </xf>
    <xf numFmtId="166" fontId="13" fillId="0" borderId="0" xfId="80" applyNumberFormat="1" applyFont="1" applyAlignment="1">
      <alignment vertical="center"/>
    </xf>
    <xf numFmtId="43" fontId="10" fillId="0" borderId="0" xfId="1" applyFont="1" applyBorder="1" applyAlignment="1" applyProtection="1">
      <alignment horizontal="left" vertical="center"/>
    </xf>
    <xf numFmtId="43" fontId="10" fillId="0" borderId="14" xfId="1" applyFont="1" applyFill="1" applyBorder="1" applyAlignment="1">
      <alignment vertical="center"/>
    </xf>
    <xf numFmtId="43" fontId="13" fillId="0" borderId="3" xfId="1" applyFont="1" applyBorder="1" applyAlignment="1" applyProtection="1">
      <alignment horizontal="center" vertical="center"/>
    </xf>
    <xf numFmtId="43" fontId="10" fillId="0" borderId="0" xfId="1" quotePrefix="1" applyFont="1" applyFill="1" applyBorder="1" applyAlignment="1" applyProtection="1">
      <alignment horizontal="left" vertical="center"/>
    </xf>
    <xf numFmtId="43" fontId="10" fillId="0" borderId="15" xfId="1" applyFont="1" applyBorder="1" applyAlignment="1" applyProtection="1">
      <alignment horizontal="right" vertical="center"/>
    </xf>
    <xf numFmtId="43" fontId="13" fillId="0" borderId="14" xfId="1" quotePrefix="1" applyFont="1" applyFill="1" applyBorder="1" applyAlignment="1" applyProtection="1">
      <alignment horizontal="left" vertical="center"/>
    </xf>
    <xf numFmtId="3" fontId="10" fillId="0" borderId="37" xfId="1" applyNumberFormat="1" applyFont="1" applyFill="1" applyBorder="1" applyAlignment="1" applyProtection="1">
      <alignment horizontal="right" vertical="center"/>
    </xf>
    <xf numFmtId="43" fontId="10" fillId="0" borderId="9" xfId="1" applyFont="1" applyBorder="1" applyAlignment="1" applyProtection="1">
      <alignment horizontal="right" vertical="center"/>
    </xf>
    <xf numFmtId="43" fontId="10" fillId="0" borderId="103" xfId="1" applyFont="1" applyBorder="1" applyAlignment="1" applyProtection="1">
      <alignment horizontal="right" vertical="center"/>
    </xf>
    <xf numFmtId="3" fontId="11" fillId="2" borderId="3" xfId="1" applyNumberFormat="1" applyFont="1" applyFill="1" applyBorder="1" applyAlignment="1" applyProtection="1">
      <alignment horizontal="right" vertical="center"/>
    </xf>
    <xf numFmtId="3" fontId="15" fillId="2" borderId="3" xfId="1" applyNumberFormat="1" applyFont="1" applyFill="1" applyBorder="1" applyAlignment="1" applyProtection="1">
      <alignment horizontal="right" vertical="center"/>
    </xf>
    <xf numFmtId="175" fontId="11" fillId="2" borderId="3" xfId="1" applyNumberFormat="1" applyFont="1" applyFill="1" applyBorder="1" applyAlignment="1" applyProtection="1">
      <alignment horizontal="right" vertical="center"/>
    </xf>
    <xf numFmtId="3" fontId="11" fillId="0" borderId="11" xfId="1" applyNumberFormat="1" applyFont="1" applyBorder="1" applyAlignment="1" applyProtection="1">
      <alignment horizontal="right" vertical="center"/>
    </xf>
    <xf numFmtId="175" fontId="11" fillId="0" borderId="11" xfId="1" applyNumberFormat="1" applyFont="1" applyBorder="1" applyAlignment="1" applyProtection="1">
      <alignment horizontal="right" vertical="center"/>
    </xf>
    <xf numFmtId="10" fontId="11" fillId="0" borderId="12" xfId="3" applyNumberFormat="1" applyFont="1" applyFill="1" applyBorder="1" applyAlignment="1" applyProtection="1">
      <alignment horizontal="right" vertical="center"/>
    </xf>
    <xf numFmtId="43" fontId="11" fillId="0" borderId="13" xfId="1" applyFont="1" applyBorder="1" applyAlignment="1" applyProtection="1">
      <alignment vertical="center"/>
    </xf>
    <xf numFmtId="43" fontId="11" fillId="0" borderId="14" xfId="1" applyFont="1" applyFill="1" applyBorder="1" applyAlignment="1" applyProtection="1">
      <alignment vertical="center"/>
    </xf>
    <xf numFmtId="43" fontId="11" fillId="0" borderId="0" xfId="1" applyFont="1" applyBorder="1" applyAlignment="1" applyProtection="1">
      <alignment vertical="center"/>
    </xf>
    <xf numFmtId="43" fontId="15" fillId="0" borderId="14" xfId="1" applyFont="1" applyFill="1" applyBorder="1" applyAlignment="1" applyProtection="1">
      <alignment vertical="center"/>
    </xf>
    <xf numFmtId="43" fontId="10" fillId="0" borderId="0" xfId="1" applyFont="1" applyBorder="1" applyAlignment="1" applyProtection="1">
      <alignment vertical="center"/>
    </xf>
    <xf numFmtId="43" fontId="10" fillId="0" borderId="0" xfId="1" applyFont="1" applyFill="1" applyBorder="1" applyAlignment="1">
      <alignment horizontal="left" vertical="center"/>
    </xf>
    <xf numFmtId="43" fontId="10" fillId="0" borderId="0" xfId="1" applyFont="1" applyFill="1" applyBorder="1" applyAlignment="1">
      <alignment vertical="center"/>
    </xf>
    <xf numFmtId="176" fontId="10" fillId="0" borderId="101" xfId="1" applyNumberFormat="1" applyFont="1" applyFill="1" applyBorder="1" applyAlignment="1" applyProtection="1">
      <alignment vertical="center"/>
    </xf>
    <xf numFmtId="43" fontId="13" fillId="0" borderId="0" xfId="1" applyFont="1" applyBorder="1" applyAlignment="1" applyProtection="1">
      <alignment vertical="center"/>
    </xf>
    <xf numFmtId="176" fontId="10" fillId="0" borderId="101" xfId="1" applyNumberFormat="1" applyFont="1" applyBorder="1" applyAlignment="1" applyProtection="1">
      <alignment vertical="center"/>
    </xf>
    <xf numFmtId="43" fontId="10" fillId="0" borderId="0" xfId="1" applyFont="1" applyFill="1" applyBorder="1" applyAlignment="1" applyProtection="1">
      <alignment vertical="center"/>
    </xf>
    <xf numFmtId="43" fontId="13" fillId="0" borderId="0" xfId="1" applyFont="1" applyFill="1" applyBorder="1" applyAlignment="1" applyProtection="1">
      <alignment vertical="center" wrapText="1"/>
    </xf>
    <xf numFmtId="176" fontId="10" fillId="0" borderId="15" xfId="1" applyNumberFormat="1" applyFont="1" applyFill="1" applyBorder="1" applyAlignment="1" applyProtection="1">
      <alignment vertical="center"/>
    </xf>
    <xf numFmtId="43" fontId="10" fillId="0" borderId="0" xfId="1" applyFont="1" applyFill="1" applyBorder="1" applyAlignment="1" applyProtection="1">
      <alignment vertical="center" wrapText="1"/>
    </xf>
    <xf numFmtId="3" fontId="10" fillId="0" borderId="15" xfId="1" applyNumberFormat="1" applyFont="1" applyBorder="1" applyAlignment="1" applyProtection="1">
      <alignment horizontal="right" vertical="center"/>
    </xf>
    <xf numFmtId="176" fontId="10" fillId="0" borderId="46" xfId="1" applyNumberFormat="1" applyFont="1" applyFill="1" applyBorder="1" applyAlignment="1" applyProtection="1">
      <alignment vertical="center"/>
    </xf>
    <xf numFmtId="43" fontId="11" fillId="0" borderId="0" xfId="1" applyFont="1" applyFill="1" applyBorder="1" applyAlignment="1" applyProtection="1">
      <alignment vertical="center"/>
    </xf>
    <xf numFmtId="3" fontId="11" fillId="0" borderId="15" xfId="1" applyNumberFormat="1" applyFont="1" applyBorder="1" applyAlignment="1" applyProtection="1">
      <alignment horizontal="right" vertical="center"/>
    </xf>
    <xf numFmtId="43" fontId="13" fillId="0" borderId="0" xfId="1" applyFont="1" applyFill="1" applyBorder="1" applyAlignment="1" applyProtection="1">
      <alignment vertical="center"/>
    </xf>
    <xf numFmtId="3" fontId="11" fillId="0" borderId="15" xfId="1" applyNumberFormat="1" applyFont="1" applyFill="1" applyBorder="1" applyAlignment="1">
      <alignment horizontal="right" vertical="center"/>
    </xf>
    <xf numFmtId="3" fontId="11" fillId="0" borderId="15" xfId="1" applyNumberFormat="1" applyFont="1" applyBorder="1" applyAlignment="1">
      <alignment horizontal="right" vertical="center"/>
    </xf>
    <xf numFmtId="43" fontId="74" fillId="0" borderId="0" xfId="1" applyFont="1" applyBorder="1" applyAlignment="1" applyProtection="1">
      <alignment vertical="center"/>
    </xf>
    <xf numFmtId="43" fontId="11" fillId="0" borderId="9" xfId="1" applyFont="1" applyBorder="1" applyAlignment="1" applyProtection="1">
      <alignment vertical="center"/>
    </xf>
    <xf numFmtId="43" fontId="11" fillId="0" borderId="14" xfId="1" applyFont="1" applyBorder="1" applyAlignment="1" applyProtection="1">
      <alignment vertical="center"/>
    </xf>
    <xf numFmtId="3" fontId="11" fillId="0" borderId="14" xfId="1" applyNumberFormat="1" applyFont="1" applyBorder="1" applyAlignment="1" applyProtection="1">
      <alignment vertical="center"/>
    </xf>
    <xf numFmtId="43" fontId="11" fillId="0" borderId="103" xfId="1" applyFont="1" applyBorder="1" applyAlignment="1" applyProtection="1">
      <alignment vertical="center"/>
    </xf>
    <xf numFmtId="43" fontId="11" fillId="0" borderId="13" xfId="1" applyFont="1" applyFill="1" applyBorder="1" applyAlignment="1" applyProtection="1">
      <alignment vertical="center"/>
    </xf>
    <xf numFmtId="3" fontId="11" fillId="0" borderId="0" xfId="1" applyNumberFormat="1" applyFont="1" applyFill="1" applyBorder="1" applyAlignment="1" applyProtection="1">
      <alignment vertical="center"/>
    </xf>
    <xf numFmtId="175" fontId="10" fillId="0" borderId="15" xfId="1" applyNumberFormat="1" applyFont="1" applyBorder="1" applyAlignment="1" applyProtection="1">
      <alignment horizontal="right" vertical="center"/>
    </xf>
    <xf numFmtId="3" fontId="11" fillId="2" borderId="21" xfId="1" applyNumberFormat="1" applyFont="1" applyFill="1" applyBorder="1" applyAlignment="1" applyProtection="1">
      <alignment horizontal="right" vertical="center"/>
    </xf>
    <xf numFmtId="175" fontId="11" fillId="2" borderId="21" xfId="1" applyNumberFormat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vertical="center"/>
    </xf>
    <xf numFmtId="3" fontId="11" fillId="2" borderId="43" xfId="1" applyNumberFormat="1" applyFont="1" applyFill="1" applyBorder="1" applyAlignment="1" applyProtection="1">
      <alignment horizontal="right" vertical="center"/>
    </xf>
    <xf numFmtId="175" fontId="11" fillId="2" borderId="43" xfId="1" applyNumberFormat="1" applyFont="1" applyFill="1" applyBorder="1" applyAlignment="1" applyProtection="1">
      <alignment horizontal="right" vertical="center"/>
    </xf>
    <xf numFmtId="10" fontId="11" fillId="4" borderId="68" xfId="3" applyNumberFormat="1" applyFont="1" applyFill="1" applyBorder="1" applyAlignment="1" applyProtection="1">
      <alignment horizontal="right" vertical="center"/>
    </xf>
    <xf numFmtId="3" fontId="11" fillId="0" borderId="0" xfId="1" applyNumberFormat="1" applyFont="1" applyFill="1" applyBorder="1" applyAlignment="1" applyProtection="1">
      <alignment horizontal="left" vertical="center"/>
    </xf>
    <xf numFmtId="3" fontId="10" fillId="0" borderId="0" xfId="1" applyNumberFormat="1" applyFont="1" applyFill="1" applyBorder="1" applyAlignment="1" applyProtection="1">
      <alignment horizontal="right" vertical="center"/>
    </xf>
    <xf numFmtId="3" fontId="10" fillId="0" borderId="0" xfId="2" applyNumberFormat="1" applyFont="1" applyFill="1" applyBorder="1" applyAlignment="1" applyProtection="1">
      <alignment horizontal="right" vertical="center"/>
    </xf>
    <xf numFmtId="43" fontId="10" fillId="0" borderId="0" xfId="1" applyFont="1" applyBorder="1" applyAlignment="1">
      <alignment horizontal="center" vertical="center"/>
    </xf>
    <xf numFmtId="43" fontId="10" fillId="0" borderId="0" xfId="1" applyFont="1" applyBorder="1" applyAlignment="1">
      <alignment horizontal="right" vertical="center"/>
    </xf>
    <xf numFmtId="3" fontId="10" fillId="0" borderId="0" xfId="80" applyNumberFormat="1" applyFont="1" applyAlignment="1">
      <alignment horizontal="right" vertical="center"/>
    </xf>
    <xf numFmtId="43" fontId="8" fillId="0" borderId="0" xfId="1" applyFont="1" applyBorder="1" applyAlignment="1">
      <alignment horizontal="center" vertical="center"/>
    </xf>
    <xf numFmtId="43" fontId="6" fillId="0" borderId="0" xfId="1" applyFont="1" applyBorder="1" applyAlignment="1">
      <alignment vertical="center"/>
    </xf>
    <xf numFmtId="43" fontId="11" fillId="0" borderId="13" xfId="1" applyFont="1" applyBorder="1" applyAlignment="1" applyProtection="1">
      <alignment horizontal="center" vertical="center" wrapText="1"/>
    </xf>
    <xf numFmtId="43" fontId="11" fillId="0" borderId="0" xfId="1" applyFont="1" applyBorder="1" applyAlignment="1" applyProtection="1">
      <alignment horizontal="center" vertical="center" wrapText="1"/>
    </xf>
    <xf numFmtId="43" fontId="11" fillId="0" borderId="0" xfId="1" applyFont="1" applyFill="1" applyBorder="1" applyAlignment="1">
      <alignment horizontal="left" vertical="center"/>
    </xf>
    <xf numFmtId="43" fontId="10" fillId="0" borderId="9" xfId="1" applyFont="1" applyBorder="1" applyAlignment="1" applyProtection="1">
      <alignment horizontal="right" vertical="center" wrapText="1"/>
    </xf>
    <xf numFmtId="43" fontId="10" fillId="0" borderId="14" xfId="1" applyFont="1" applyBorder="1" applyAlignment="1" applyProtection="1">
      <alignment horizontal="right" vertical="center" wrapText="1"/>
    </xf>
    <xf numFmtId="3" fontId="10" fillId="0" borderId="14" xfId="1" applyNumberFormat="1" applyFont="1" applyBorder="1" applyAlignment="1" applyProtection="1">
      <alignment horizontal="right" vertical="center" wrapText="1"/>
    </xf>
    <xf numFmtId="3" fontId="10" fillId="0" borderId="15" xfId="1" applyNumberFormat="1" applyFont="1" applyBorder="1" applyAlignment="1" applyProtection="1">
      <alignment horizontal="right" vertical="center" wrapText="1"/>
    </xf>
    <xf numFmtId="43" fontId="10" fillId="0" borderId="15" xfId="1" applyFont="1" applyBorder="1" applyAlignment="1" applyProtection="1">
      <alignment horizontal="right" vertical="center" wrapText="1"/>
    </xf>
    <xf numFmtId="3" fontId="10" fillId="0" borderId="16" xfId="80" applyNumberFormat="1" applyFont="1" applyBorder="1" applyAlignment="1">
      <alignment horizontal="right" vertical="center" wrapText="1"/>
    </xf>
    <xf numFmtId="3" fontId="11" fillId="0" borderId="14" xfId="1" applyNumberFormat="1" applyFont="1" applyBorder="1" applyAlignment="1" applyProtection="1">
      <alignment horizontal="right" vertical="center"/>
    </xf>
    <xf numFmtId="3" fontId="11" fillId="0" borderId="16" xfId="80" applyNumberFormat="1" applyFont="1" applyBorder="1" applyAlignment="1">
      <alignment horizontal="right" vertical="center"/>
    </xf>
    <xf numFmtId="43" fontId="11" fillId="0" borderId="0" xfId="80" applyNumberFormat="1" applyFont="1" applyAlignment="1">
      <alignment vertical="center"/>
    </xf>
    <xf numFmtId="43" fontId="11" fillId="0" borderId="0" xfId="1" applyFont="1" applyBorder="1" applyAlignment="1" applyProtection="1">
      <alignment horizontal="left" vertical="center"/>
    </xf>
    <xf numFmtId="43" fontId="15" fillId="0" borderId="0" xfId="1" applyFont="1" applyFill="1" applyBorder="1" applyAlignment="1" applyProtection="1">
      <alignment horizontal="left" vertical="center"/>
    </xf>
    <xf numFmtId="2" fontId="13" fillId="0" borderId="16" xfId="3" applyNumberFormat="1" applyFont="1" applyFill="1" applyBorder="1" applyAlignment="1" applyProtection="1">
      <alignment horizontal="right" vertical="center"/>
    </xf>
    <xf numFmtId="175" fontId="11" fillId="4" borderId="3" xfId="1" applyNumberFormat="1" applyFont="1" applyFill="1" applyBorder="1" applyAlignment="1" applyProtection="1">
      <alignment horizontal="right" vertical="center"/>
    </xf>
    <xf numFmtId="43" fontId="11" fillId="0" borderId="13" xfId="1" applyFont="1" applyBorder="1" applyAlignment="1" applyProtection="1">
      <alignment horizontal="left" vertical="center"/>
    </xf>
    <xf numFmtId="43" fontId="11" fillId="0" borderId="9" xfId="1" applyFont="1" applyBorder="1" applyAlignment="1" applyProtection="1">
      <alignment horizontal="right" vertical="center"/>
    </xf>
    <xf numFmtId="43" fontId="11" fillId="0" borderId="103" xfId="1" applyFont="1" applyBorder="1" applyAlignment="1" applyProtection="1">
      <alignment horizontal="right" vertical="center"/>
    </xf>
    <xf numFmtId="43" fontId="11" fillId="0" borderId="13" xfId="1" quotePrefix="1" applyFont="1" applyBorder="1" applyAlignment="1" applyProtection="1">
      <alignment horizontal="left" vertical="center"/>
    </xf>
    <xf numFmtId="43" fontId="11" fillId="0" borderId="0" xfId="1" quotePrefix="1" applyFont="1" applyBorder="1" applyAlignment="1" applyProtection="1">
      <alignment horizontal="center" vertical="center"/>
    </xf>
    <xf numFmtId="3" fontId="11" fillId="0" borderId="11" xfId="1" applyNumberFormat="1" applyFont="1" applyBorder="1" applyAlignment="1">
      <alignment vertical="center"/>
    </xf>
    <xf numFmtId="43" fontId="13" fillId="0" borderId="3" xfId="1" quotePrefix="1" applyFont="1" applyBorder="1" applyAlignment="1" applyProtection="1">
      <alignment horizontal="center" vertical="center"/>
    </xf>
    <xf numFmtId="43" fontId="13" fillId="0" borderId="17" xfId="1" applyFont="1" applyBorder="1" applyAlignment="1" applyProtection="1">
      <alignment horizontal="center" vertical="center"/>
    </xf>
    <xf numFmtId="3" fontId="15" fillId="0" borderId="14" xfId="1" applyNumberFormat="1" applyFont="1" applyBorder="1" applyAlignment="1" applyProtection="1">
      <alignment horizontal="center" vertical="center"/>
    </xf>
    <xf numFmtId="43" fontId="11" fillId="0" borderId="14" xfId="1" applyFont="1" applyFill="1" applyBorder="1" applyAlignment="1">
      <alignment horizontal="left" vertical="center"/>
    </xf>
    <xf numFmtId="175" fontId="11" fillId="0" borderId="15" xfId="1" applyNumberFormat="1" applyFont="1" applyFill="1" applyBorder="1" applyAlignment="1" applyProtection="1">
      <alignment horizontal="right" vertical="center"/>
    </xf>
    <xf numFmtId="3" fontId="11" fillId="0" borderId="14" xfId="1" applyNumberFormat="1" applyFont="1" applyFill="1" applyBorder="1" applyAlignment="1" applyProtection="1">
      <alignment horizontal="right" vertical="center"/>
    </xf>
    <xf numFmtId="175" fontId="10" fillId="0" borderId="15" xfId="1" applyNumberFormat="1" applyFont="1" applyFill="1" applyBorder="1" applyAlignment="1" applyProtection="1">
      <alignment horizontal="right" vertical="center"/>
    </xf>
    <xf numFmtId="43" fontId="10" fillId="0" borderId="14" xfId="1" applyFont="1" applyBorder="1" applyAlignment="1">
      <alignment horizontal="right" vertical="center"/>
    </xf>
    <xf numFmtId="43" fontId="15" fillId="0" borderId="14" xfId="1" applyFont="1" applyFill="1" applyBorder="1" applyAlignment="1" applyProtection="1">
      <alignment horizontal="left" vertical="center"/>
    </xf>
    <xf numFmtId="43" fontId="11" fillId="0" borderId="13" xfId="1" applyFont="1" applyBorder="1" applyAlignment="1">
      <alignment horizontal="center" vertical="center"/>
    </xf>
    <xf numFmtId="43" fontId="11" fillId="0" borderId="0" xfId="1" applyFont="1" applyBorder="1" applyAlignment="1">
      <alignment horizontal="left" vertical="center"/>
    </xf>
    <xf numFmtId="175" fontId="11" fillId="0" borderId="37" xfId="1" applyNumberFormat="1" applyFont="1" applyFill="1" applyBorder="1" applyAlignment="1" applyProtection="1">
      <alignment horizontal="right" vertical="center"/>
    </xf>
    <xf numFmtId="43" fontId="11" fillId="0" borderId="37" xfId="1" applyFont="1" applyBorder="1" applyAlignment="1" applyProtection="1">
      <alignment horizontal="right" vertical="center"/>
    </xf>
    <xf numFmtId="175" fontId="11" fillId="4" borderId="21" xfId="1" applyNumberFormat="1" applyFont="1" applyFill="1" applyBorder="1" applyAlignment="1" applyProtection="1">
      <alignment horizontal="right" vertical="center"/>
    </xf>
    <xf numFmtId="0" fontId="10" fillId="0" borderId="0" xfId="80" applyFont="1" applyAlignment="1">
      <alignment horizontal="center" vertical="center"/>
    </xf>
    <xf numFmtId="3" fontId="10" fillId="0" borderId="0" xfId="1" applyNumberFormat="1" applyFont="1" applyAlignment="1">
      <alignment vertical="center"/>
    </xf>
    <xf numFmtId="43" fontId="10" fillId="0" borderId="0" xfId="1" applyFont="1" applyAlignment="1">
      <alignment vertical="center"/>
    </xf>
    <xf numFmtId="3" fontId="10" fillId="0" borderId="0" xfId="80" applyNumberFormat="1" applyFont="1" applyAlignment="1">
      <alignment vertical="center"/>
    </xf>
    <xf numFmtId="0" fontId="75" fillId="0" borderId="0" xfId="80" applyFont="1" applyAlignment="1">
      <alignment vertical="center"/>
    </xf>
    <xf numFmtId="0" fontId="8" fillId="0" borderId="0" xfId="80" applyFont="1" applyAlignment="1">
      <alignment horizontal="center" vertical="center"/>
    </xf>
    <xf numFmtId="0" fontId="42" fillId="23" borderId="0" xfId="4" applyFont="1" applyFill="1" applyAlignment="1">
      <alignment vertical="center"/>
    </xf>
    <xf numFmtId="177" fontId="77" fillId="23" borderId="0" xfId="129" applyNumberFormat="1" applyFont="1" applyFill="1" applyAlignment="1">
      <alignment horizontal="center" vertical="center"/>
    </xf>
    <xf numFmtId="0" fontId="46" fillId="23" borderId="0" xfId="4" applyFont="1" applyFill="1" applyAlignment="1">
      <alignment vertical="center"/>
    </xf>
    <xf numFmtId="0" fontId="78" fillId="0" borderId="0" xfId="4" applyFont="1" applyAlignment="1">
      <alignment vertical="center"/>
    </xf>
    <xf numFmtId="0" fontId="45" fillId="23" borderId="0" xfId="4" applyFont="1" applyFill="1" applyAlignment="1">
      <alignment horizontal="left" vertical="center"/>
    </xf>
    <xf numFmtId="0" fontId="45" fillId="23" borderId="0" xfId="4" applyFont="1" applyFill="1" applyAlignment="1">
      <alignment horizontal="center" vertical="center"/>
    </xf>
    <xf numFmtId="177" fontId="45" fillId="23" borderId="0" xfId="129" applyNumberFormat="1" applyFont="1" applyFill="1" applyAlignment="1">
      <alignment horizontal="center" vertical="center"/>
    </xf>
    <xf numFmtId="0" fontId="79" fillId="23" borderId="0" xfId="4" applyFont="1" applyFill="1" applyAlignment="1">
      <alignment horizontal="center" vertical="center"/>
    </xf>
    <xf numFmtId="0" fontId="80" fillId="0" borderId="0" xfId="4" applyFont="1" applyAlignment="1">
      <alignment vertical="center"/>
    </xf>
    <xf numFmtId="0" fontId="49" fillId="23" borderId="0" xfId="4" applyFont="1" applyFill="1" applyAlignment="1">
      <alignment horizontal="center" vertical="center"/>
    </xf>
    <xf numFmtId="0" fontId="42" fillId="3" borderId="30" xfId="4" applyFont="1" applyFill="1" applyBorder="1" applyAlignment="1">
      <alignment vertical="center"/>
    </xf>
    <xf numFmtId="0" fontId="47" fillId="23" borderId="23" xfId="4" applyFont="1" applyFill="1" applyBorder="1" applyAlignment="1">
      <alignment vertical="center"/>
    </xf>
    <xf numFmtId="177" fontId="77" fillId="23" borderId="24" xfId="129" applyNumberFormat="1" applyFont="1" applyFill="1" applyBorder="1" applyAlignment="1">
      <alignment horizontal="center" vertical="center"/>
    </xf>
    <xf numFmtId="0" fontId="49" fillId="23" borderId="24" xfId="4" applyFont="1" applyFill="1" applyBorder="1" applyAlignment="1">
      <alignment horizontal="center" vertical="center"/>
    </xf>
    <xf numFmtId="0" fontId="47" fillId="23" borderId="23" xfId="4" applyFont="1" applyFill="1" applyBorder="1" applyAlignment="1">
      <alignment horizontal="center" vertical="center"/>
    </xf>
    <xf numFmtId="177" fontId="47" fillId="23" borderId="0" xfId="129" applyNumberFormat="1" applyFont="1" applyFill="1" applyBorder="1" applyAlignment="1">
      <alignment horizontal="center" vertical="center"/>
    </xf>
    <xf numFmtId="164" fontId="44" fillId="23" borderId="37" xfId="130" applyFont="1" applyFill="1" applyBorder="1" applyAlignment="1">
      <alignment horizontal="center" vertical="center"/>
    </xf>
    <xf numFmtId="0" fontId="49" fillId="23" borderId="37" xfId="4" applyFont="1" applyFill="1" applyBorder="1" applyAlignment="1">
      <alignment horizontal="center" vertical="center"/>
    </xf>
    <xf numFmtId="0" fontId="47" fillId="23" borderId="13" xfId="131" applyFont="1" applyFill="1" applyBorder="1" applyAlignment="1">
      <alignment horizontal="left" vertical="center"/>
    </xf>
    <xf numFmtId="0" fontId="47" fillId="23" borderId="0" xfId="131" applyFont="1" applyFill="1" applyAlignment="1">
      <alignment horizontal="left" vertical="center"/>
    </xf>
    <xf numFmtId="0" fontId="47" fillId="23" borderId="0" xfId="131" applyFont="1" applyFill="1" applyAlignment="1">
      <alignment horizontal="center" vertical="center"/>
    </xf>
    <xf numFmtId="0" fontId="47" fillId="23" borderId="37" xfId="131" applyFont="1" applyFill="1" applyBorder="1" applyAlignment="1">
      <alignment horizontal="center" vertical="center"/>
    </xf>
    <xf numFmtId="0" fontId="47" fillId="23" borderId="60" xfId="131" applyFont="1" applyFill="1" applyBorder="1" applyAlignment="1">
      <alignment horizontal="center" vertical="center"/>
    </xf>
    <xf numFmtId="0" fontId="47" fillId="23" borderId="13" xfId="4" applyFont="1" applyFill="1" applyBorder="1" applyAlignment="1">
      <alignment vertical="center"/>
    </xf>
    <xf numFmtId="177" fontId="77" fillId="23" borderId="0" xfId="129" applyNumberFormat="1" applyFont="1" applyFill="1" applyBorder="1" applyAlignment="1">
      <alignment horizontal="center" vertical="center"/>
    </xf>
    <xf numFmtId="0" fontId="47" fillId="23" borderId="13" xfId="4" applyFont="1" applyFill="1" applyBorder="1" applyAlignment="1">
      <alignment horizontal="center" vertical="center"/>
    </xf>
    <xf numFmtId="0" fontId="47" fillId="23" borderId="13" xfId="4" applyFont="1" applyFill="1" applyBorder="1" applyAlignment="1">
      <alignment horizontal="left" vertical="center"/>
    </xf>
    <xf numFmtId="0" fontId="47" fillId="23" borderId="14" xfId="4" applyFont="1" applyFill="1" applyBorder="1" applyAlignment="1">
      <alignment horizontal="right" vertical="center"/>
    </xf>
    <xf numFmtId="0" fontId="47" fillId="23" borderId="58" xfId="4" applyFont="1" applyFill="1" applyBorder="1" applyAlignment="1">
      <alignment vertical="center"/>
    </xf>
    <xf numFmtId="177" fontId="77" fillId="23" borderId="27" xfId="129" applyNumberFormat="1" applyFont="1" applyFill="1" applyBorder="1" applyAlignment="1">
      <alignment horizontal="center" vertical="center"/>
    </xf>
    <xf numFmtId="0" fontId="49" fillId="23" borderId="27" xfId="4" applyFont="1" applyFill="1" applyBorder="1" applyAlignment="1">
      <alignment horizontal="center" vertical="center"/>
    </xf>
    <xf numFmtId="0" fontId="47" fillId="23" borderId="58" xfId="4" applyFont="1" applyFill="1" applyBorder="1" applyAlignment="1">
      <alignment horizontal="center" vertical="center"/>
    </xf>
    <xf numFmtId="0" fontId="42" fillId="23" borderId="23" xfId="4" applyFont="1" applyFill="1" applyBorder="1" applyAlignment="1">
      <alignment vertical="center"/>
    </xf>
    <xf numFmtId="0" fontId="42" fillId="23" borderId="24" xfId="4" applyFont="1" applyFill="1" applyBorder="1" applyAlignment="1">
      <alignment vertical="center"/>
    </xf>
    <xf numFmtId="177" fontId="45" fillId="23" borderId="24" xfId="129" applyNumberFormat="1" applyFont="1" applyFill="1" applyBorder="1" applyAlignment="1">
      <alignment horizontal="center" vertical="center"/>
    </xf>
    <xf numFmtId="0" fontId="54" fillId="23" borderId="24" xfId="4" applyFont="1" applyFill="1" applyBorder="1" applyAlignment="1">
      <alignment horizontal="center" vertical="center"/>
    </xf>
    <xf numFmtId="0" fontId="54" fillId="23" borderId="0" xfId="4" applyFont="1" applyFill="1" applyAlignment="1">
      <alignment horizontal="center" vertical="center"/>
    </xf>
    <xf numFmtId="0" fontId="42" fillId="23" borderId="0" xfId="4" applyFont="1" applyFill="1" applyAlignment="1">
      <alignment horizontal="center" vertical="center"/>
    </xf>
    <xf numFmtId="0" fontId="42" fillId="23" borderId="60" xfId="4" applyFont="1" applyFill="1" applyBorder="1" applyAlignment="1">
      <alignment horizontal="center" vertical="center"/>
    </xf>
    <xf numFmtId="0" fontId="49" fillId="23" borderId="0" xfId="4" applyFont="1" applyFill="1" applyAlignment="1">
      <alignment vertical="center"/>
    </xf>
    <xf numFmtId="0" fontId="50" fillId="23" borderId="0" xfId="4" applyFont="1" applyFill="1" applyAlignment="1">
      <alignment horizontal="center" vertical="center"/>
    </xf>
    <xf numFmtId="0" fontId="81" fillId="23" borderId="0" xfId="4" applyFont="1" applyFill="1" applyAlignment="1">
      <alignment horizontal="center" vertical="center"/>
    </xf>
    <xf numFmtId="0" fontId="72" fillId="23" borderId="0" xfId="4" applyFont="1" applyFill="1" applyAlignment="1">
      <alignment horizontal="center" vertical="center"/>
    </xf>
    <xf numFmtId="0" fontId="50" fillId="24" borderId="34" xfId="5" applyFont="1" applyFill="1" applyBorder="1" applyAlignment="1">
      <alignment horizontal="center" vertical="center"/>
    </xf>
    <xf numFmtId="0" fontId="50" fillId="23" borderId="23" xfId="5" applyFont="1" applyFill="1" applyBorder="1" applyAlignment="1">
      <alignment horizontal="center" vertical="center"/>
    </xf>
    <xf numFmtId="0" fontId="50" fillId="23" borderId="30" xfId="5" applyFont="1" applyFill="1" applyBorder="1" applyAlignment="1">
      <alignment vertical="center" wrapText="1"/>
    </xf>
    <xf numFmtId="164" fontId="48" fillId="0" borderId="34" xfId="130" applyFont="1" applyFill="1" applyBorder="1" applyAlignment="1" applyProtection="1">
      <alignment horizontal="center" vertical="center" wrapText="1"/>
    </xf>
    <xf numFmtId="164" fontId="48" fillId="24" borderId="34" xfId="130" applyFont="1" applyFill="1" applyBorder="1" applyAlignment="1" applyProtection="1">
      <alignment horizontal="center" vertical="center" wrapText="1"/>
    </xf>
    <xf numFmtId="0" fontId="81" fillId="23" borderId="0" xfId="5" applyFont="1" applyFill="1" applyAlignment="1">
      <alignment vertical="center" wrapText="1"/>
    </xf>
    <xf numFmtId="0" fontId="46" fillId="24" borderId="0" xfId="131" applyFont="1" applyFill="1" applyAlignment="1">
      <alignment vertical="center"/>
    </xf>
    <xf numFmtId="0" fontId="50" fillId="23" borderId="0" xfId="5" applyFont="1" applyFill="1" applyAlignment="1">
      <alignment vertical="center" wrapText="1"/>
    </xf>
    <xf numFmtId="0" fontId="47" fillId="39" borderId="105" xfId="5" applyFont="1" applyFill="1" applyBorder="1" applyAlignment="1">
      <alignment horizontal="center" vertical="center" wrapText="1"/>
    </xf>
    <xf numFmtId="0" fontId="50" fillId="39" borderId="61" xfId="77" applyFont="1" applyFill="1" applyBorder="1" applyAlignment="1">
      <alignment horizontal="center" vertical="center" wrapText="1"/>
    </xf>
    <xf numFmtId="0" fontId="50" fillId="39" borderId="61" xfId="77" applyFont="1" applyFill="1" applyBorder="1" applyAlignment="1">
      <alignment horizontal="left" vertical="center" wrapText="1"/>
    </xf>
    <xf numFmtId="164" fontId="82" fillId="39" borderId="62" xfId="129" applyFont="1" applyFill="1" applyBorder="1" applyAlignment="1" applyProtection="1">
      <alignment horizontal="center" vertical="center" wrapText="1"/>
    </xf>
    <xf numFmtId="0" fontId="81" fillId="0" borderId="0" xfId="4" applyFont="1" applyAlignment="1">
      <alignment vertical="center" wrapText="1"/>
    </xf>
    <xf numFmtId="49" fontId="81" fillId="0" borderId="0" xfId="4" applyNumberFormat="1" applyFont="1" applyAlignment="1">
      <alignment vertical="center" wrapText="1"/>
    </xf>
    <xf numFmtId="0" fontId="50" fillId="0" borderId="0" xfId="4" applyFont="1" applyAlignment="1">
      <alignment vertical="center" wrapText="1"/>
    </xf>
    <xf numFmtId="164" fontId="50" fillId="0" borderId="0" xfId="4" applyNumberFormat="1" applyFont="1" applyAlignment="1">
      <alignment vertical="center" wrapText="1"/>
    </xf>
    <xf numFmtId="0" fontId="47" fillId="4" borderId="63" xfId="5" applyFont="1" applyFill="1" applyBorder="1" applyAlignment="1">
      <alignment horizontal="center" vertical="center" wrapText="1"/>
    </xf>
    <xf numFmtId="0" fontId="50" fillId="4" borderId="45" xfId="77" applyFont="1" applyFill="1" applyBorder="1" applyAlignment="1">
      <alignment horizontal="center" vertical="center" wrapText="1"/>
    </xf>
    <xf numFmtId="0" fontId="50" fillId="4" borderId="45" xfId="77" applyFont="1" applyFill="1" applyBorder="1" applyAlignment="1">
      <alignment horizontal="left" vertical="center" wrapText="1"/>
    </xf>
    <xf numFmtId="164" fontId="83" fillId="4" borderId="39" xfId="129" applyFont="1" applyFill="1" applyBorder="1" applyAlignment="1">
      <alignment horizontal="center" vertical="center" wrapText="1"/>
    </xf>
    <xf numFmtId="0" fontId="81" fillId="24" borderId="0" xfId="4" applyFont="1" applyFill="1" applyAlignment="1">
      <alignment vertical="center" wrapText="1"/>
    </xf>
    <xf numFmtId="0" fontId="55" fillId="31" borderId="63" xfId="5" applyFont="1" applyFill="1" applyBorder="1" applyAlignment="1">
      <alignment horizontal="center" vertical="center" wrapText="1"/>
    </xf>
    <xf numFmtId="0" fontId="56" fillId="31" borderId="45" xfId="77" applyFont="1" applyFill="1" applyBorder="1" applyAlignment="1">
      <alignment horizontal="center" vertical="center" wrapText="1"/>
    </xf>
    <xf numFmtId="0" fontId="56" fillId="31" borderId="45" xfId="77" applyFont="1" applyFill="1" applyBorder="1" applyAlignment="1">
      <alignment horizontal="left" vertical="center" wrapText="1"/>
    </xf>
    <xf numFmtId="164" fontId="83" fillId="31" borderId="39" xfId="129" applyFont="1" applyFill="1" applyBorder="1" applyAlignment="1">
      <alignment horizontal="center" vertical="center" wrapText="1"/>
    </xf>
    <xf numFmtId="0" fontId="56" fillId="0" borderId="0" xfId="4" applyFont="1" applyAlignment="1">
      <alignment vertical="center" wrapText="1"/>
    </xf>
    <xf numFmtId="0" fontId="47" fillId="0" borderId="63" xfId="5" applyFont="1" applyBorder="1" applyAlignment="1">
      <alignment horizontal="center" vertical="center" wrapText="1"/>
    </xf>
    <xf numFmtId="0" fontId="47" fillId="0" borderId="45" xfId="77" applyFont="1" applyBorder="1" applyAlignment="1">
      <alignment horizontal="center" vertical="center" wrapText="1"/>
    </xf>
    <xf numFmtId="0" fontId="47" fillId="0" borderId="45" xfId="77" applyFont="1" applyBorder="1" applyAlignment="1">
      <alignment horizontal="left" vertical="center" wrapText="1"/>
    </xf>
    <xf numFmtId="164" fontId="83" fillId="0" borderId="39" xfId="129" applyFont="1" applyBorder="1" applyAlignment="1">
      <alignment horizontal="center" vertical="center" wrapText="1"/>
    </xf>
    <xf numFmtId="49" fontId="49" fillId="0" borderId="0" xfId="4" applyNumberFormat="1" applyFont="1" applyAlignment="1">
      <alignment vertical="center" wrapText="1"/>
    </xf>
    <xf numFmtId="0" fontId="47" fillId="0" borderId="0" xfId="4" applyFont="1" applyAlignment="1">
      <alignment vertical="center" wrapText="1"/>
    </xf>
    <xf numFmtId="0" fontId="47" fillId="31" borderId="63" xfId="5" applyFont="1" applyFill="1" applyBorder="1" applyAlignment="1">
      <alignment horizontal="center" vertical="center" wrapText="1"/>
    </xf>
    <xf numFmtId="0" fontId="56" fillId="0" borderId="45" xfId="77" applyFont="1" applyBorder="1" applyAlignment="1">
      <alignment horizontal="center" vertical="center" wrapText="1"/>
    </xf>
    <xf numFmtId="0" fontId="56" fillId="0" borderId="45" xfId="77" applyFont="1" applyBorder="1" applyAlignment="1">
      <alignment horizontal="left" vertical="center" wrapText="1"/>
    </xf>
    <xf numFmtId="0" fontId="47" fillId="0" borderId="105" xfId="5" applyFont="1" applyBorder="1" applyAlignment="1">
      <alignment horizontal="center" vertical="center" wrapText="1"/>
    </xf>
    <xf numFmtId="0" fontId="47" fillId="0" borderId="65" xfId="5" applyFont="1" applyBorder="1" applyAlignment="1">
      <alignment horizontal="center" vertical="center" wrapText="1"/>
    </xf>
    <xf numFmtId="0" fontId="47" fillId="0" borderId="18" xfId="77" applyFont="1" applyBorder="1" applyAlignment="1">
      <alignment horizontal="center" vertical="center" wrapText="1"/>
    </xf>
    <xf numFmtId="0" fontId="47" fillId="0" borderId="18" xfId="77" applyFont="1" applyBorder="1" applyAlignment="1">
      <alignment horizontal="left" vertical="center" wrapText="1"/>
    </xf>
    <xf numFmtId="0" fontId="47" fillId="4" borderId="105" xfId="5" applyFont="1" applyFill="1" applyBorder="1" applyAlignment="1">
      <alignment horizontal="center" vertical="center" wrapText="1"/>
    </xf>
    <xf numFmtId="0" fontId="50" fillId="4" borderId="61" xfId="77" applyFont="1" applyFill="1" applyBorder="1" applyAlignment="1">
      <alignment horizontal="center" vertical="center" wrapText="1"/>
    </xf>
    <xf numFmtId="0" fontId="50" fillId="4" borderId="61" xfId="77" applyFont="1" applyFill="1" applyBorder="1" applyAlignment="1">
      <alignment horizontal="left" vertical="center" wrapText="1"/>
    </xf>
    <xf numFmtId="164" fontId="83" fillId="4" borderId="62" xfId="129" applyFont="1" applyFill="1" applyBorder="1" applyAlignment="1">
      <alignment horizontal="center" vertical="center" wrapText="1"/>
    </xf>
    <xf numFmtId="164" fontId="83" fillId="39" borderId="62" xfId="129" applyFont="1" applyFill="1" applyBorder="1" applyAlignment="1">
      <alignment horizontal="center" vertical="center" wrapText="1"/>
    </xf>
    <xf numFmtId="0" fontId="47" fillId="24" borderId="63" xfId="5" applyFont="1" applyFill="1" applyBorder="1" applyAlignment="1">
      <alignment horizontal="center" vertical="center" wrapText="1"/>
    </xf>
    <xf numFmtId="0" fontId="47" fillId="24" borderId="45" xfId="77" applyFont="1" applyFill="1" applyBorder="1" applyAlignment="1">
      <alignment horizontal="center" vertical="center" wrapText="1"/>
    </xf>
    <xf numFmtId="0" fontId="47" fillId="24" borderId="45" xfId="77" applyFont="1" applyFill="1" applyBorder="1" applyAlignment="1">
      <alignment horizontal="left" vertical="center" wrapText="1"/>
    </xf>
    <xf numFmtId="49" fontId="49" fillId="24" borderId="0" xfId="4" applyNumberFormat="1" applyFont="1" applyFill="1" applyAlignment="1">
      <alignment vertical="center" wrapText="1"/>
    </xf>
    <xf numFmtId="0" fontId="49" fillId="24" borderId="0" xfId="4" applyFont="1" applyFill="1" applyAlignment="1">
      <alignment vertical="center" wrapText="1"/>
    </xf>
    <xf numFmtId="49" fontId="47" fillId="24" borderId="0" xfId="4" applyNumberFormat="1" applyFont="1" applyFill="1" applyAlignment="1">
      <alignment vertical="center" wrapText="1"/>
    </xf>
    <xf numFmtId="0" fontId="57" fillId="24" borderId="63" xfId="5" applyFont="1" applyFill="1" applyBorder="1" applyAlignment="1">
      <alignment horizontal="center" vertical="center" wrapText="1"/>
    </xf>
    <xf numFmtId="0" fontId="47" fillId="40" borderId="63" xfId="5" applyFont="1" applyFill="1" applyBorder="1" applyAlignment="1">
      <alignment horizontal="center" vertical="center" wrapText="1"/>
    </xf>
    <xf numFmtId="0" fontId="47" fillId="40" borderId="45" xfId="77" applyFont="1" applyFill="1" applyBorder="1" applyAlignment="1">
      <alignment horizontal="center" vertical="center" wrapText="1"/>
    </xf>
    <xf numFmtId="0" fontId="47" fillId="40" borderId="45" xfId="77" applyFont="1" applyFill="1" applyBorder="1" applyAlignment="1">
      <alignment horizontal="left" vertical="center" wrapText="1"/>
    </xf>
    <xf numFmtId="164" fontId="83" fillId="40" borderId="39" xfId="129" applyFont="1" applyFill="1" applyBorder="1" applyAlignment="1">
      <alignment horizontal="center" vertical="center" wrapText="1"/>
    </xf>
    <xf numFmtId="0" fontId="47" fillId="24" borderId="45" xfId="77" applyFont="1" applyFill="1" applyBorder="1" applyAlignment="1">
      <alignment vertical="center" wrapText="1"/>
    </xf>
    <xf numFmtId="0" fontId="47" fillId="24" borderId="63" xfId="5" applyFont="1" applyFill="1" applyBorder="1" applyAlignment="1">
      <alignment horizontal="center" vertical="center"/>
    </xf>
    <xf numFmtId="0" fontId="57" fillId="40" borderId="63" xfId="5" applyFont="1" applyFill="1" applyBorder="1" applyAlignment="1">
      <alignment horizontal="center" vertical="center"/>
    </xf>
    <xf numFmtId="0" fontId="47" fillId="40" borderId="45" xfId="77" applyFont="1" applyFill="1" applyBorder="1" applyAlignment="1">
      <alignment vertical="center" wrapText="1"/>
    </xf>
    <xf numFmtId="0" fontId="49" fillId="0" borderId="0" xfId="4" applyFont="1" applyAlignment="1">
      <alignment vertical="center" wrapText="1"/>
    </xf>
    <xf numFmtId="49" fontId="47" fillId="0" borderId="0" xfId="4" applyNumberFormat="1" applyFont="1" applyAlignment="1">
      <alignment vertical="center" wrapText="1"/>
    </xf>
    <xf numFmtId="0" fontId="47" fillId="0" borderId="63" xfId="5" applyFont="1" applyBorder="1" applyAlignment="1">
      <alignment horizontal="center" vertical="center"/>
    </xf>
    <xf numFmtId="0" fontId="47" fillId="0" borderId="45" xfId="77" applyFont="1" applyBorder="1" applyAlignment="1">
      <alignment vertical="center" wrapText="1"/>
    </xf>
    <xf numFmtId="0" fontId="47" fillId="0" borderId="106" xfId="5" applyFont="1" applyBorder="1" applyAlignment="1">
      <alignment horizontal="center" vertical="center"/>
    </xf>
    <xf numFmtId="0" fontId="84" fillId="31" borderId="63" xfId="5" applyFont="1" applyFill="1" applyBorder="1" applyAlignment="1">
      <alignment horizontal="center" vertical="center" wrapText="1"/>
    </xf>
    <xf numFmtId="0" fontId="47" fillId="0" borderId="39" xfId="77" applyFont="1" applyBorder="1" applyAlignment="1">
      <alignment horizontal="center" vertical="center" wrapText="1"/>
    </xf>
    <xf numFmtId="0" fontId="47" fillId="0" borderId="2" xfId="132" applyFont="1" applyBorder="1" applyAlignment="1">
      <alignment horizontal="left" vertical="center"/>
    </xf>
    <xf numFmtId="0" fontId="47" fillId="0" borderId="39" xfId="132" applyFont="1" applyBorder="1" applyAlignment="1">
      <alignment horizontal="center" vertical="center"/>
    </xf>
    <xf numFmtId="0" fontId="47" fillId="0" borderId="39" xfId="77" applyFont="1" applyBorder="1" applyAlignment="1">
      <alignment horizontal="left" vertical="center" wrapText="1"/>
    </xf>
    <xf numFmtId="0" fontId="47" fillId="40" borderId="39" xfId="77" applyFont="1" applyFill="1" applyBorder="1" applyAlignment="1">
      <alignment horizontal="center" vertical="center" wrapText="1"/>
    </xf>
    <xf numFmtId="0" fontId="47" fillId="40" borderId="39" xfId="77" applyFont="1" applyFill="1" applyBorder="1" applyAlignment="1">
      <alignment horizontal="left" vertical="center" wrapText="1"/>
    </xf>
    <xf numFmtId="0" fontId="50" fillId="4" borderId="102" xfId="77" applyFont="1" applyFill="1" applyBorder="1" applyAlignment="1">
      <alignment horizontal="center" vertical="center" wrapText="1"/>
    </xf>
    <xf numFmtId="0" fontId="50" fillId="4" borderId="102" xfId="77" applyFont="1" applyFill="1" applyBorder="1" applyAlignment="1">
      <alignment horizontal="left" vertical="center" wrapText="1"/>
    </xf>
    <xf numFmtId="164" fontId="83" fillId="4" borderId="38" xfId="129" applyFont="1" applyFill="1" applyBorder="1" applyAlignment="1">
      <alignment horizontal="center" vertical="center" wrapText="1"/>
    </xf>
    <xf numFmtId="0" fontId="56" fillId="0" borderId="18" xfId="77" applyFont="1" applyBorder="1" applyAlignment="1">
      <alignment horizontal="center" vertical="center" wrapText="1"/>
    </xf>
    <xf numFmtId="0" fontId="56" fillId="0" borderId="18" xfId="77" applyFont="1" applyBorder="1" applyAlignment="1">
      <alignment horizontal="left" vertical="center" wrapText="1"/>
    </xf>
    <xf numFmtId="0" fontId="50" fillId="0" borderId="63" xfId="5" applyFont="1" applyBorder="1" applyAlignment="1">
      <alignment horizontal="center" vertical="center" wrapText="1"/>
    </xf>
    <xf numFmtId="0" fontId="50" fillId="0" borderId="65" xfId="5" applyFont="1" applyBorder="1" applyAlignment="1">
      <alignment horizontal="center" vertical="center" wrapText="1"/>
    </xf>
    <xf numFmtId="0" fontId="47" fillId="41" borderId="60" xfId="5" applyFont="1" applyFill="1" applyBorder="1" applyAlignment="1">
      <alignment horizontal="center" vertical="center" wrapText="1"/>
    </xf>
    <xf numFmtId="0" fontId="50" fillId="41" borderId="30" xfId="77" applyFont="1" applyFill="1" applyBorder="1" applyAlignment="1">
      <alignment horizontal="center" vertical="center" wrapText="1"/>
    </xf>
    <xf numFmtId="0" fontId="50" fillId="41" borderId="30" xfId="77" applyFont="1" applyFill="1" applyBorder="1" applyAlignment="1">
      <alignment horizontal="left" vertical="center" wrapText="1"/>
    </xf>
    <xf numFmtId="164" fontId="83" fillId="41" borderId="34" xfId="129" applyFont="1" applyFill="1" applyBorder="1" applyAlignment="1">
      <alignment horizontal="center" vertical="center" wrapText="1"/>
    </xf>
    <xf numFmtId="0" fontId="47" fillId="39" borderId="69" xfId="5" applyFont="1" applyFill="1" applyBorder="1" applyAlignment="1">
      <alignment horizontal="center" vertical="center" wrapText="1"/>
    </xf>
    <xf numFmtId="0" fontId="50" fillId="39" borderId="102" xfId="77" applyFont="1" applyFill="1" applyBorder="1" applyAlignment="1">
      <alignment horizontal="left" vertical="center" wrapText="1"/>
    </xf>
    <xf numFmtId="164" fontId="83" fillId="39" borderId="38" xfId="129" applyFont="1" applyFill="1" applyBorder="1" applyAlignment="1">
      <alignment horizontal="center" vertical="center" wrapText="1"/>
    </xf>
    <xf numFmtId="0" fontId="50" fillId="24" borderId="45" xfId="77" applyFont="1" applyFill="1" applyBorder="1" applyAlignment="1">
      <alignment horizontal="center" vertical="center" wrapText="1"/>
    </xf>
    <xf numFmtId="0" fontId="50" fillId="24" borderId="45" xfId="77" applyFont="1" applyFill="1" applyBorder="1" applyAlignment="1">
      <alignment horizontal="left" vertical="center" wrapText="1"/>
    </xf>
    <xf numFmtId="0" fontId="47" fillId="0" borderId="106" xfId="5" applyFont="1" applyBorder="1" applyAlignment="1">
      <alignment horizontal="center" vertical="center" wrapText="1"/>
    </xf>
    <xf numFmtId="0" fontId="50" fillId="24" borderId="18" xfId="77" applyFont="1" applyFill="1" applyBorder="1" applyAlignment="1">
      <alignment horizontal="center" vertical="center" wrapText="1"/>
    </xf>
    <xf numFmtId="0" fontId="50" fillId="24" borderId="18" xfId="77" applyFont="1" applyFill="1" applyBorder="1" applyAlignment="1">
      <alignment horizontal="left" vertical="center" wrapText="1"/>
    </xf>
    <xf numFmtId="0" fontId="50" fillId="0" borderId="45" xfId="77" applyFont="1" applyBorder="1" applyAlignment="1">
      <alignment horizontal="center" vertical="center" wrapText="1"/>
    </xf>
    <xf numFmtId="0" fontId="50" fillId="0" borderId="45" xfId="77" applyFont="1" applyBorder="1" applyAlignment="1">
      <alignment horizontal="left" vertical="center" wrapText="1"/>
    </xf>
    <xf numFmtId="0" fontId="50" fillId="0" borderId="18" xfId="77" applyFont="1" applyBorder="1" applyAlignment="1">
      <alignment horizontal="center" vertical="center" wrapText="1"/>
    </xf>
    <xf numFmtId="0" fontId="50" fillId="0" borderId="18" xfId="77" applyFont="1" applyBorder="1" applyAlignment="1">
      <alignment horizontal="left" vertical="center" wrapText="1"/>
    </xf>
    <xf numFmtId="0" fontId="56" fillId="24" borderId="45" xfId="77" applyFont="1" applyFill="1" applyBorder="1" applyAlignment="1">
      <alignment horizontal="center" vertical="center" wrapText="1"/>
    </xf>
    <xf numFmtId="0" fontId="56" fillId="24" borderId="45" xfId="77" applyFont="1" applyFill="1" applyBorder="1" applyAlignment="1">
      <alignment horizontal="left" vertical="center" wrapText="1"/>
    </xf>
    <xf numFmtId="0" fontId="56" fillId="0" borderId="6" xfId="77" applyFont="1" applyBorder="1" applyAlignment="1">
      <alignment horizontal="center" vertical="center" wrapText="1"/>
    </xf>
    <xf numFmtId="0" fontId="56" fillId="0" borderId="45" xfId="77" applyFont="1" applyBorder="1" applyAlignment="1">
      <alignment vertical="center" wrapText="1"/>
    </xf>
    <xf numFmtId="0" fontId="56" fillId="0" borderId="8" xfId="77" applyFont="1" applyBorder="1" applyAlignment="1">
      <alignment horizontal="center" vertical="center" wrapText="1"/>
    </xf>
    <xf numFmtId="0" fontId="56" fillId="0" borderId="8" xfId="77" applyFont="1" applyBorder="1" applyAlignment="1">
      <alignment horizontal="left" vertical="center" wrapText="1"/>
    </xf>
    <xf numFmtId="0" fontId="47" fillId="0" borderId="39" xfId="5" applyFont="1" applyBorder="1" applyAlignment="1">
      <alignment horizontal="center" vertical="center" wrapText="1"/>
    </xf>
    <xf numFmtId="0" fontId="56" fillId="0" borderId="39" xfId="77" applyFont="1" applyBorder="1" applyAlignment="1">
      <alignment horizontal="center" vertical="center" wrapText="1"/>
    </xf>
    <xf numFmtId="0" fontId="56" fillId="0" borderId="39" xfId="77" applyFont="1" applyBorder="1" applyAlignment="1">
      <alignment horizontal="left" vertical="center" wrapText="1"/>
    </xf>
    <xf numFmtId="0" fontId="50" fillId="39" borderId="102" xfId="77" applyFont="1" applyFill="1" applyBorder="1" applyAlignment="1">
      <alignment horizontal="center" vertical="center" wrapText="1"/>
    </xf>
    <xf numFmtId="0" fontId="47" fillId="39" borderId="63" xfId="5" applyFont="1" applyFill="1" applyBorder="1" applyAlignment="1">
      <alignment horizontal="center" vertical="center" wrapText="1"/>
    </xf>
    <xf numFmtId="0" fontId="50" fillId="39" borderId="45" xfId="77" applyFont="1" applyFill="1" applyBorder="1" applyAlignment="1">
      <alignment horizontal="center" vertical="center" wrapText="1"/>
    </xf>
    <xf numFmtId="0" fontId="50" fillId="24" borderId="63" xfId="5" applyFont="1" applyFill="1" applyBorder="1" applyAlignment="1">
      <alignment horizontal="center" vertical="center" wrapText="1"/>
    </xf>
    <xf numFmtId="0" fontId="56" fillId="24" borderId="6" xfId="77" applyFont="1" applyFill="1" applyBorder="1" applyAlignment="1">
      <alignment horizontal="center" vertical="center" wrapText="1"/>
    </xf>
    <xf numFmtId="0" fontId="56" fillId="24" borderId="45" xfId="77" applyFont="1" applyFill="1" applyBorder="1" applyAlignment="1">
      <alignment vertical="center" wrapText="1"/>
    </xf>
    <xf numFmtId="0" fontId="50" fillId="0" borderId="106" xfId="5" applyFont="1" applyBorder="1" applyAlignment="1">
      <alignment horizontal="center" vertical="center"/>
    </xf>
    <xf numFmtId="0" fontId="50" fillId="24" borderId="6" xfId="77" applyFont="1" applyFill="1" applyBorder="1" applyAlignment="1">
      <alignment horizontal="center" vertical="center" wrapText="1"/>
    </xf>
    <xf numFmtId="0" fontId="50" fillId="0" borderId="45" xfId="77" applyFont="1" applyBorder="1" applyAlignment="1">
      <alignment vertical="center" wrapText="1"/>
    </xf>
    <xf numFmtId="0" fontId="50" fillId="24" borderId="63" xfId="5" applyFont="1" applyFill="1" applyBorder="1" applyAlignment="1">
      <alignment horizontal="center" vertical="center"/>
    </xf>
    <xf numFmtId="0" fontId="47" fillId="24" borderId="6" xfId="77" applyFont="1" applyFill="1" applyBorder="1" applyAlignment="1">
      <alignment horizontal="center" vertical="center" wrapText="1"/>
    </xf>
    <xf numFmtId="0" fontId="56" fillId="0" borderId="39" xfId="132" applyFont="1" applyBorder="1" applyAlignment="1">
      <alignment vertical="center"/>
    </xf>
    <xf numFmtId="0" fontId="56" fillId="0" borderId="39" xfId="132" applyFont="1" applyBorder="1" applyAlignment="1">
      <alignment horizontal="center" vertical="center" wrapText="1"/>
    </xf>
    <xf numFmtId="0" fontId="56" fillId="0" borderId="39" xfId="132" applyFont="1" applyBorder="1" applyAlignment="1">
      <alignment vertical="center" wrapText="1"/>
    </xf>
    <xf numFmtId="0" fontId="50" fillId="0" borderId="106" xfId="5" applyFont="1" applyBorder="1" applyAlignment="1">
      <alignment horizontal="center" vertical="center" wrapText="1"/>
    </xf>
    <xf numFmtId="0" fontId="50" fillId="41" borderId="58" xfId="77" applyFont="1" applyFill="1" applyBorder="1" applyAlignment="1">
      <alignment horizontal="center" vertical="center" wrapText="1"/>
    </xf>
    <xf numFmtId="0" fontId="50" fillId="41" borderId="58" xfId="77" applyFont="1" applyFill="1" applyBorder="1" applyAlignment="1">
      <alignment horizontal="left" vertical="center" wrapText="1"/>
    </xf>
    <xf numFmtId="164" fontId="83" fillId="41" borderId="35" xfId="129" applyFont="1" applyFill="1" applyBorder="1" applyAlignment="1">
      <alignment horizontal="center" vertical="center" wrapText="1"/>
    </xf>
    <xf numFmtId="164" fontId="83" fillId="0" borderId="44" xfId="129" applyFont="1" applyBorder="1" applyAlignment="1">
      <alignment horizontal="center" vertical="center" wrapText="1"/>
    </xf>
    <xf numFmtId="49" fontId="49" fillId="23" borderId="0" xfId="4" applyNumberFormat="1" applyFont="1" applyFill="1" applyAlignment="1">
      <alignment vertical="center"/>
    </xf>
    <xf numFmtId="0" fontId="8" fillId="0" borderId="0" xfId="79" applyFont="1"/>
    <xf numFmtId="1" fontId="6" fillId="25" borderId="107" xfId="5" applyNumberFormat="1" applyFont="1" applyFill="1" applyBorder="1" applyAlignment="1">
      <alignment vertical="center" wrapText="1"/>
    </xf>
    <xf numFmtId="1" fontId="6" fillId="25" borderId="15" xfId="5" applyNumberFormat="1" applyFont="1" applyFill="1" applyBorder="1" applyAlignment="1">
      <alignment vertical="center" wrapText="1"/>
    </xf>
    <xf numFmtId="1" fontId="6" fillId="25" borderId="14" xfId="5" applyNumberFormat="1" applyFont="1" applyFill="1" applyBorder="1" applyAlignment="1">
      <alignment vertical="center" wrapText="1"/>
    </xf>
    <xf numFmtId="4" fontId="6" fillId="25" borderId="13" xfId="5" applyNumberFormat="1" applyFont="1" applyFill="1" applyBorder="1" applyAlignment="1">
      <alignment horizontal="left" vertical="center" wrapText="1"/>
    </xf>
    <xf numFmtId="0" fontId="6" fillId="25" borderId="108" xfId="5" applyFont="1" applyFill="1" applyBorder="1" applyAlignment="1">
      <alignment horizontal="center" wrapText="1"/>
    </xf>
    <xf numFmtId="43" fontId="6" fillId="25" borderId="108" xfId="1" applyFont="1" applyFill="1" applyBorder="1" applyAlignment="1" applyProtection="1">
      <alignment horizontal="center" vertical="center" wrapText="1"/>
    </xf>
    <xf numFmtId="0" fontId="6" fillId="0" borderId="0" xfId="4" applyFont="1" applyAlignment="1">
      <alignment vertical="center"/>
    </xf>
    <xf numFmtId="179" fontId="6" fillId="0" borderId="0" xfId="4" applyNumberFormat="1" applyFont="1" applyAlignment="1">
      <alignment vertical="center"/>
    </xf>
    <xf numFmtId="1" fontId="8" fillId="0" borderId="6" xfId="5" applyNumberFormat="1" applyFont="1" applyBorder="1" applyAlignment="1">
      <alignment horizontal="right" vertical="center"/>
    </xf>
    <xf numFmtId="1" fontId="6" fillId="0" borderId="3" xfId="5" applyNumberFormat="1" applyFont="1" applyBorder="1" applyAlignment="1">
      <alignment horizontal="right" vertical="center"/>
    </xf>
    <xf numFmtId="1" fontId="6" fillId="0" borderId="63" xfId="5" applyNumberFormat="1" applyFont="1" applyBorder="1" applyAlignment="1">
      <alignment horizontal="right" vertical="center"/>
    </xf>
    <xf numFmtId="0" fontId="6" fillId="0" borderId="45" xfId="77" applyFont="1" applyBorder="1" applyAlignment="1">
      <alignment vertical="center" wrapText="1"/>
    </xf>
    <xf numFmtId="0" fontId="8" fillId="0" borderId="39" xfId="77" applyFont="1" applyBorder="1" applyAlignment="1">
      <alignment horizontal="center" wrapText="1"/>
    </xf>
    <xf numFmtId="179" fontId="8" fillId="0" borderId="39" xfId="1" applyNumberFormat="1" applyFont="1" applyFill="1" applyBorder="1" applyAlignment="1" applyProtection="1">
      <alignment horizontal="right" vertical="center" wrapText="1"/>
    </xf>
    <xf numFmtId="1" fontId="8" fillId="0" borderId="3" xfId="5" applyNumberFormat="1" applyFont="1" applyBorder="1" applyAlignment="1">
      <alignment horizontal="right" vertical="center"/>
    </xf>
    <xf numFmtId="1" fontId="8" fillId="0" borderId="63" xfId="5" applyNumberFormat="1" applyFont="1" applyBorder="1" applyAlignment="1">
      <alignment horizontal="right" vertical="center"/>
    </xf>
    <xf numFmtId="0" fontId="8" fillId="0" borderId="45" xfId="77" applyFont="1" applyBorder="1" applyAlignment="1">
      <alignment vertical="center" wrapText="1"/>
    </xf>
    <xf numFmtId="43" fontId="8" fillId="25" borderId="39" xfId="1" applyFont="1" applyFill="1" applyBorder="1" applyAlignment="1" applyProtection="1">
      <alignment horizontal="center" vertical="center" wrapText="1"/>
    </xf>
    <xf numFmtId="1" fontId="6" fillId="25" borderId="36" xfId="5" applyNumberFormat="1" applyFont="1" applyFill="1" applyBorder="1" applyAlignment="1">
      <alignment horizontal="right" vertical="center" wrapText="1"/>
    </xf>
    <xf numFmtId="1" fontId="6" fillId="25" borderId="37" xfId="5" applyNumberFormat="1" applyFont="1" applyFill="1" applyBorder="1" applyAlignment="1">
      <alignment horizontal="right" vertical="center" wrapText="1"/>
    </xf>
    <xf numFmtId="1" fontId="6" fillId="25" borderId="99" xfId="5" applyNumberFormat="1" applyFont="1" applyFill="1" applyBorder="1" applyAlignment="1">
      <alignment vertical="center" wrapText="1"/>
    </xf>
    <xf numFmtId="0" fontId="6" fillId="25" borderId="46" xfId="5" applyFont="1" applyFill="1" applyBorder="1" applyAlignment="1">
      <alignment horizontal="left" vertical="center" wrapText="1"/>
    </xf>
    <xf numFmtId="0" fontId="6" fillId="25" borderId="38" xfId="5" applyFont="1" applyFill="1" applyBorder="1" applyAlignment="1">
      <alignment horizontal="center" wrapText="1"/>
    </xf>
    <xf numFmtId="43" fontId="6" fillId="25" borderId="38" xfId="1" applyFont="1" applyFill="1" applyBorder="1" applyAlignment="1" applyProtection="1">
      <alignment horizontal="center" vertical="center" wrapText="1"/>
    </xf>
    <xf numFmtId="1" fontId="8" fillId="0" borderId="11" xfId="5" applyNumberFormat="1" applyFont="1" applyBorder="1" applyAlignment="1">
      <alignment horizontal="right" vertical="center"/>
    </xf>
    <xf numFmtId="1" fontId="8" fillId="0" borderId="106" xfId="5" applyNumberFormat="1" applyFont="1" applyBorder="1" applyAlignment="1">
      <alignment horizontal="right" vertical="center"/>
    </xf>
    <xf numFmtId="1" fontId="6" fillId="0" borderId="11" xfId="5" applyNumberFormat="1" applyFont="1" applyBorder="1" applyAlignment="1">
      <alignment horizontal="right" vertical="center"/>
    </xf>
    <xf numFmtId="1" fontId="6" fillId="0" borderId="106" xfId="5" applyNumberFormat="1" applyFont="1" applyBorder="1" applyAlignment="1">
      <alignment horizontal="right" vertical="center"/>
    </xf>
    <xf numFmtId="1" fontId="8" fillId="0" borderId="41" xfId="5" applyNumberFormat="1" applyFont="1" applyBorder="1" applyAlignment="1">
      <alignment horizontal="right" vertical="center"/>
    </xf>
    <xf numFmtId="0" fontId="6" fillId="0" borderId="8" xfId="77" applyFont="1" applyBorder="1" applyAlignment="1">
      <alignment vertical="center" wrapText="1"/>
    </xf>
    <xf numFmtId="0" fontId="8" fillId="0" borderId="109" xfId="77" applyFont="1" applyBorder="1" applyAlignment="1">
      <alignment horizontal="center" wrapText="1"/>
    </xf>
    <xf numFmtId="1" fontId="6" fillId="25" borderId="6" xfId="5" applyNumberFormat="1" applyFont="1" applyFill="1" applyBorder="1" applyAlignment="1">
      <alignment horizontal="right" vertical="center" wrapText="1"/>
    </xf>
    <xf numFmtId="1" fontId="6" fillId="25" borderId="3" xfId="5" applyNumberFormat="1" applyFont="1" applyFill="1" applyBorder="1" applyAlignment="1">
      <alignment horizontal="right" vertical="center" wrapText="1"/>
    </xf>
    <xf numFmtId="1" fontId="6" fillId="25" borderId="17" xfId="5" applyNumberFormat="1" applyFont="1" applyFill="1" applyBorder="1" applyAlignment="1">
      <alignment vertical="center" wrapText="1"/>
    </xf>
    <xf numFmtId="0" fontId="6" fillId="25" borderId="1" xfId="5" applyFont="1" applyFill="1" applyBorder="1" applyAlignment="1">
      <alignment horizontal="left" vertical="center" wrapText="1"/>
    </xf>
    <xf numFmtId="0" fontId="6" fillId="25" borderId="39" xfId="5" applyFont="1" applyFill="1" applyBorder="1" applyAlignment="1">
      <alignment horizontal="center" wrapText="1"/>
    </xf>
    <xf numFmtId="43" fontId="6" fillId="25" borderId="39" xfId="1" applyFont="1" applyFill="1" applyBorder="1" applyAlignment="1" applyProtection="1">
      <alignment horizontal="center" vertical="center" wrapText="1"/>
    </xf>
    <xf numFmtId="179" fontId="8" fillId="0" borderId="0" xfId="4" applyNumberFormat="1" applyFont="1" applyAlignment="1">
      <alignment vertical="center"/>
    </xf>
    <xf numFmtId="0" fontId="6" fillId="0" borderId="45" xfId="5" applyFont="1" applyBorder="1" applyAlignment="1">
      <alignment horizontal="left" vertical="center"/>
    </xf>
    <xf numFmtId="0" fontId="6" fillId="0" borderId="45" xfId="5" applyFont="1" applyBorder="1" applyAlignment="1">
      <alignment horizontal="left" vertical="center" wrapText="1"/>
    </xf>
    <xf numFmtId="1" fontId="6" fillId="25" borderId="99" xfId="5" applyNumberFormat="1" applyFont="1" applyFill="1" applyBorder="1" applyAlignment="1">
      <alignment horizontal="right" vertical="center" wrapText="1"/>
    </xf>
    <xf numFmtId="0" fontId="8" fillId="0" borderId="38" xfId="5" applyFont="1" applyBorder="1" applyAlignment="1">
      <alignment horizontal="center" wrapText="1"/>
    </xf>
    <xf numFmtId="43" fontId="8" fillId="25" borderId="38" xfId="1" applyFont="1" applyFill="1" applyBorder="1" applyAlignment="1" applyProtection="1">
      <alignment horizontal="center" vertical="center" wrapText="1"/>
    </xf>
    <xf numFmtId="0" fontId="6" fillId="0" borderId="45" xfId="77" applyFont="1" applyBorder="1" applyAlignment="1">
      <alignment vertical="center"/>
    </xf>
    <xf numFmtId="1" fontId="6" fillId="0" borderId="3" xfId="77" applyNumberFormat="1" applyFont="1" applyBorder="1" applyAlignment="1">
      <alignment horizontal="right" vertical="center" wrapText="1"/>
    </xf>
    <xf numFmtId="1" fontId="6" fillId="0" borderId="63" xfId="77" applyNumberFormat="1" applyFont="1" applyBorder="1" applyAlignment="1">
      <alignment horizontal="right" vertical="center" wrapText="1"/>
    </xf>
    <xf numFmtId="179" fontId="8" fillId="25" borderId="39" xfId="1" applyNumberFormat="1" applyFont="1" applyFill="1" applyBorder="1" applyAlignment="1" applyProtection="1">
      <alignment horizontal="right" vertical="center" wrapText="1"/>
    </xf>
    <xf numFmtId="1" fontId="8" fillId="0" borderId="37" xfId="5" applyNumberFormat="1" applyFont="1" applyBorder="1" applyAlignment="1">
      <alignment horizontal="right" vertical="center"/>
    </xf>
    <xf numFmtId="43" fontId="8" fillId="25" borderId="39" xfId="1" applyFont="1" applyFill="1" applyBorder="1" applyAlignment="1" applyProtection="1">
      <alignment horizontal="center" vertical="center"/>
    </xf>
    <xf numFmtId="0" fontId="8" fillId="0" borderId="38" xfId="77" applyFont="1" applyBorder="1" applyAlignment="1">
      <alignment horizontal="center" wrapText="1"/>
    </xf>
    <xf numFmtId="43" fontId="8" fillId="25" borderId="38" xfId="1" applyFont="1" applyFill="1" applyBorder="1" applyAlignment="1" applyProtection="1">
      <alignment horizontal="center" vertical="center"/>
    </xf>
    <xf numFmtId="43" fontId="8" fillId="25" borderId="39" xfId="1" applyFont="1" applyFill="1" applyBorder="1" applyAlignment="1">
      <alignment horizontal="center" vertical="center"/>
    </xf>
    <xf numFmtId="1" fontId="6" fillId="0" borderId="2" xfId="5" applyNumberFormat="1" applyFont="1" applyBorder="1" applyAlignment="1">
      <alignment horizontal="right" vertical="center"/>
    </xf>
    <xf numFmtId="0" fontId="6" fillId="0" borderId="39" xfId="77" applyFont="1" applyBorder="1" applyAlignment="1">
      <alignment vertical="center" wrapText="1"/>
    </xf>
    <xf numFmtId="1" fontId="8" fillId="0" borderId="103" xfId="5" applyNumberFormat="1" applyFont="1" applyBorder="1" applyAlignment="1">
      <alignment horizontal="right" vertical="center"/>
    </xf>
    <xf numFmtId="0" fontId="8" fillId="0" borderId="38" xfId="77" applyFont="1" applyBorder="1" applyAlignment="1">
      <alignment vertical="center" wrapText="1"/>
    </xf>
    <xf numFmtId="1" fontId="6" fillId="0" borderId="37" xfId="5" applyNumberFormat="1" applyFont="1" applyBorder="1" applyAlignment="1">
      <alignment horizontal="right" vertical="center"/>
    </xf>
    <xf numFmtId="1" fontId="6" fillId="0" borderId="103" xfId="5" applyNumberFormat="1" applyFont="1" applyBorder="1" applyAlignment="1">
      <alignment horizontal="right" vertical="center"/>
    </xf>
    <xf numFmtId="0" fontId="6" fillId="0" borderId="38" xfId="77" applyFont="1" applyBorder="1" applyAlignment="1">
      <alignment vertical="center" wrapText="1"/>
    </xf>
    <xf numFmtId="0" fontId="8" fillId="25" borderId="38" xfId="5" applyFont="1" applyFill="1" applyBorder="1" applyAlignment="1">
      <alignment horizontal="center" wrapText="1"/>
    </xf>
    <xf numFmtId="4" fontId="8" fillId="0" borderId="39" xfId="77" applyNumberFormat="1" applyFont="1" applyBorder="1" applyAlignment="1">
      <alignment horizontal="center" wrapText="1"/>
    </xf>
    <xf numFmtId="179" fontId="8" fillId="0" borderId="39" xfId="1" applyNumberFormat="1" applyFont="1" applyFill="1" applyBorder="1" applyAlignment="1" applyProtection="1">
      <alignment horizontal="right" vertical="center"/>
    </xf>
    <xf numFmtId="1" fontId="6" fillId="41" borderId="36" xfId="5" applyNumberFormat="1" applyFont="1" applyFill="1" applyBorder="1" applyAlignment="1">
      <alignment horizontal="right" vertical="center" wrapText="1"/>
    </xf>
    <xf numFmtId="1" fontId="6" fillId="41" borderId="37" xfId="5" applyNumberFormat="1" applyFont="1" applyFill="1" applyBorder="1" applyAlignment="1">
      <alignment horizontal="right" vertical="center" wrapText="1"/>
    </xf>
    <xf numFmtId="1" fontId="6" fillId="41" borderId="99" xfId="5" applyNumberFormat="1" applyFont="1" applyFill="1" applyBorder="1" applyAlignment="1">
      <alignment vertical="center" wrapText="1"/>
    </xf>
    <xf numFmtId="0" fontId="6" fillId="41" borderId="46" xfId="5" applyFont="1" applyFill="1" applyBorder="1" applyAlignment="1">
      <alignment horizontal="left" vertical="center" wrapText="1"/>
    </xf>
    <xf numFmtId="0" fontId="6" fillId="41" borderId="38" xfId="5" applyFont="1" applyFill="1" applyBorder="1" applyAlignment="1">
      <alignment horizontal="center" wrapText="1"/>
    </xf>
    <xf numFmtId="43" fontId="6" fillId="41" borderId="38" xfId="1" applyFont="1" applyFill="1" applyBorder="1" applyAlignment="1" applyProtection="1">
      <alignment horizontal="center" vertical="center"/>
    </xf>
    <xf numFmtId="43" fontId="8" fillId="0" borderId="0" xfId="4" applyNumberFormat="1" applyFont="1" applyAlignment="1">
      <alignment vertical="center"/>
    </xf>
    <xf numFmtId="43" fontId="8" fillId="0" borderId="39" xfId="1" applyFont="1" applyFill="1" applyBorder="1" applyAlignment="1" applyProtection="1">
      <alignment horizontal="center" vertical="center"/>
    </xf>
    <xf numFmtId="1" fontId="8" fillId="0" borderId="42" xfId="5" applyNumberFormat="1" applyFont="1" applyBorder="1" applyAlignment="1">
      <alignment horizontal="right" vertical="center"/>
    </xf>
    <xf numFmtId="1" fontId="8" fillId="0" borderId="43" xfId="5" applyNumberFormat="1" applyFont="1" applyBorder="1" applyAlignment="1">
      <alignment horizontal="right" vertical="center"/>
    </xf>
    <xf numFmtId="1" fontId="6" fillId="0" borderId="43" xfId="5" applyNumberFormat="1" applyFont="1" applyBorder="1" applyAlignment="1">
      <alignment horizontal="right" vertical="center"/>
    </xf>
    <xf numFmtId="1" fontId="6" fillId="0" borderId="65" xfId="5" applyNumberFormat="1" applyFont="1" applyBorder="1" applyAlignment="1">
      <alignment horizontal="right" vertical="center"/>
    </xf>
    <xf numFmtId="0" fontId="6" fillId="0" borderId="18" xfId="77" applyFont="1" applyBorder="1" applyAlignment="1">
      <alignment vertical="center" wrapText="1"/>
    </xf>
    <xf numFmtId="0" fontId="8" fillId="0" borderId="44" xfId="77" applyFont="1" applyBorder="1" applyAlignment="1">
      <alignment horizontal="center" wrapText="1"/>
    </xf>
    <xf numFmtId="43" fontId="8" fillId="0" borderId="44" xfId="1" applyFont="1" applyFill="1" applyBorder="1" applyAlignment="1" applyProtection="1">
      <alignment horizontal="center" vertical="center"/>
    </xf>
    <xf numFmtId="0" fontId="8" fillId="0" borderId="0" xfId="4" applyFont="1" applyAlignment="1">
      <alignment horizontal="center"/>
    </xf>
    <xf numFmtId="43" fontId="8" fillId="0" borderId="0" xfId="1" applyFont="1" applyFill="1" applyAlignment="1">
      <alignment horizontal="center" vertical="center"/>
    </xf>
    <xf numFmtId="0" fontId="8" fillId="0" borderId="0" xfId="79" applyFont="1" applyAlignment="1">
      <alignment horizontal="center"/>
    </xf>
    <xf numFmtId="43" fontId="8" fillId="0" borderId="0" xfId="1" applyFont="1"/>
    <xf numFmtId="1" fontId="6" fillId="25" borderId="20" xfId="5" applyNumberFormat="1" applyFont="1" applyFill="1" applyBorder="1" applyAlignment="1" applyProtection="1">
      <alignment horizontal="right" vertical="center"/>
      <protection locked="0"/>
    </xf>
    <xf numFmtId="1" fontId="6" fillId="25" borderId="21" xfId="5" applyNumberFormat="1" applyFont="1" applyFill="1" applyBorder="1" applyAlignment="1" applyProtection="1">
      <alignment horizontal="right" vertical="center"/>
      <protection locked="0"/>
    </xf>
    <xf numFmtId="1" fontId="6" fillId="25" borderId="21" xfId="5" applyNumberFormat="1" applyFont="1" applyFill="1" applyBorder="1" applyAlignment="1" applyProtection="1">
      <alignment horizontal="right" vertical="top"/>
      <protection locked="0"/>
    </xf>
    <xf numFmtId="1" fontId="6" fillId="25" borderId="22" xfId="5" applyNumberFormat="1" applyFont="1" applyFill="1" applyBorder="1" applyAlignment="1" applyProtection="1">
      <alignment horizontal="right" vertical="top"/>
      <protection locked="0"/>
    </xf>
    <xf numFmtId="0" fontId="6" fillId="25" borderId="21" xfId="5" applyFont="1" applyFill="1" applyBorder="1" applyAlignment="1">
      <alignment horizontal="left" vertical="center" wrapText="1"/>
    </xf>
    <xf numFmtId="0" fontId="6" fillId="25" borderId="34" xfId="5" applyFont="1" applyFill="1" applyBorder="1" applyAlignment="1">
      <alignment horizontal="center" wrapText="1"/>
    </xf>
    <xf numFmtId="43" fontId="6" fillId="25" borderId="34" xfId="1" applyFont="1" applyFill="1" applyBorder="1" applyAlignment="1" applyProtection="1">
      <alignment horizontal="center" vertical="center"/>
    </xf>
    <xf numFmtId="1" fontId="8" fillId="0" borderId="36" xfId="5" applyNumberFormat="1" applyFont="1" applyBorder="1" applyAlignment="1" applyProtection="1">
      <alignment horizontal="right" vertical="center"/>
      <protection locked="0"/>
    </xf>
    <xf numFmtId="1" fontId="6" fillId="0" borderId="37" xfId="5" applyNumberFormat="1" applyFont="1" applyBorder="1" applyAlignment="1" applyProtection="1">
      <alignment horizontal="right" vertical="center"/>
      <protection locked="0"/>
    </xf>
    <xf numFmtId="1" fontId="8" fillId="0" borderId="37" xfId="5" applyNumberFormat="1" applyFont="1" applyBorder="1" applyAlignment="1" applyProtection="1">
      <alignment horizontal="right" vertical="center"/>
      <protection locked="0"/>
    </xf>
    <xf numFmtId="1" fontId="8" fillId="0" borderId="103" xfId="5" applyNumberFormat="1" applyFont="1" applyBorder="1" applyAlignment="1" applyProtection="1">
      <alignment horizontal="right" vertical="center"/>
      <protection locked="0"/>
    </xf>
    <xf numFmtId="179" fontId="8" fillId="0" borderId="38" xfId="1" applyNumberFormat="1" applyFont="1" applyFill="1" applyBorder="1" applyAlignment="1" applyProtection="1">
      <alignment horizontal="right" vertical="center"/>
    </xf>
    <xf numFmtId="1" fontId="8" fillId="0" borderId="3" xfId="5" applyNumberFormat="1" applyFont="1" applyBorder="1" applyAlignment="1" applyProtection="1">
      <alignment horizontal="right" vertical="center"/>
      <protection locked="0"/>
    </xf>
    <xf numFmtId="1" fontId="8" fillId="0" borderId="2" xfId="5" applyNumberFormat="1" applyFont="1" applyBorder="1" applyAlignment="1" applyProtection="1">
      <alignment horizontal="right" vertical="center"/>
      <protection locked="0"/>
    </xf>
    <xf numFmtId="0" fontId="8" fillId="0" borderId="39" xfId="77" applyFont="1" applyBorder="1" applyAlignment="1">
      <alignment vertical="center" wrapText="1"/>
    </xf>
    <xf numFmtId="1" fontId="6" fillId="0" borderId="3" xfId="5" applyNumberFormat="1" applyFont="1" applyBorder="1" applyAlignment="1" applyProtection="1">
      <alignment horizontal="right" vertical="center"/>
      <protection locked="0"/>
    </xf>
    <xf numFmtId="1" fontId="6" fillId="0" borderId="2" xfId="5" applyNumberFormat="1" applyFont="1" applyBorder="1" applyAlignment="1" applyProtection="1">
      <alignment horizontal="right" vertical="center"/>
      <protection locked="0"/>
    </xf>
    <xf numFmtId="0" fontId="6" fillId="0" borderId="39" xfId="5" applyFont="1" applyBorder="1" applyAlignment="1">
      <alignment horizontal="left" vertical="center" wrapText="1"/>
    </xf>
    <xf numFmtId="1" fontId="8" fillId="0" borderId="107" xfId="5" applyNumberFormat="1" applyFont="1" applyBorder="1" applyAlignment="1" applyProtection="1">
      <alignment horizontal="right" vertical="center"/>
      <protection locked="0"/>
    </xf>
    <xf numFmtId="1" fontId="6" fillId="0" borderId="11" xfId="5" applyNumberFormat="1" applyFont="1" applyBorder="1" applyAlignment="1" applyProtection="1">
      <alignment horizontal="right" vertical="center"/>
      <protection locked="0"/>
    </xf>
    <xf numFmtId="1" fontId="6" fillId="0" borderId="9" xfId="5" applyNumberFormat="1" applyFont="1" applyBorder="1" applyAlignment="1" applyProtection="1">
      <alignment horizontal="right" vertical="center"/>
      <protection locked="0"/>
    </xf>
    <xf numFmtId="0" fontId="6" fillId="0" borderId="109" xfId="77" applyFont="1" applyBorder="1" applyAlignment="1">
      <alignment vertical="center" wrapText="1"/>
    </xf>
    <xf numFmtId="1" fontId="6" fillId="25" borderId="6" xfId="5" applyNumberFormat="1" applyFont="1" applyFill="1" applyBorder="1" applyAlignment="1" applyProtection="1">
      <alignment horizontal="right" vertical="center"/>
      <protection locked="0"/>
    </xf>
    <xf numFmtId="1" fontId="6" fillId="25" borderId="3" xfId="5" applyNumberFormat="1" applyFont="1" applyFill="1" applyBorder="1" applyAlignment="1" applyProtection="1">
      <alignment horizontal="right" vertical="center"/>
      <protection locked="0"/>
    </xf>
    <xf numFmtId="1" fontId="6" fillId="25" borderId="2" xfId="5" applyNumberFormat="1" applyFont="1" applyFill="1" applyBorder="1" applyAlignment="1" applyProtection="1">
      <alignment horizontal="right" vertical="center"/>
      <protection locked="0"/>
    </xf>
    <xf numFmtId="0" fontId="6" fillId="25" borderId="39" xfId="5" applyFont="1" applyFill="1" applyBorder="1" applyAlignment="1">
      <alignment horizontal="left" vertical="center" wrapText="1"/>
    </xf>
    <xf numFmtId="43" fontId="6" fillId="25" borderId="39" xfId="1" applyFont="1" applyFill="1" applyBorder="1" applyAlignment="1" applyProtection="1">
      <alignment horizontal="center" vertical="center"/>
    </xf>
    <xf numFmtId="0" fontId="8" fillId="0" borderId="39" xfId="5" applyFont="1" applyBorder="1" applyAlignment="1">
      <alignment horizontal="left" vertical="center" wrapText="1"/>
    </xf>
    <xf numFmtId="0" fontId="17" fillId="0" borderId="39" xfId="5" applyFont="1" applyBorder="1" applyAlignment="1">
      <alignment horizontal="center"/>
    </xf>
    <xf numFmtId="43" fontId="17" fillId="25" borderId="39" xfId="1" applyFont="1" applyFill="1" applyBorder="1" applyAlignment="1" applyProtection="1">
      <alignment horizontal="center" vertical="center"/>
    </xf>
    <xf numFmtId="1" fontId="6" fillId="0" borderId="103" xfId="5" applyNumberFormat="1" applyFont="1" applyBorder="1" applyAlignment="1" applyProtection="1">
      <alignment horizontal="right" vertical="center"/>
      <protection locked="0"/>
    </xf>
    <xf numFmtId="1" fontId="6" fillId="25" borderId="36" xfId="5" applyNumberFormat="1" applyFont="1" applyFill="1" applyBorder="1" applyAlignment="1" applyProtection="1">
      <alignment horizontal="right" vertical="center"/>
      <protection locked="0"/>
    </xf>
    <xf numFmtId="1" fontId="6" fillId="25" borderId="37" xfId="5" applyNumberFormat="1" applyFont="1" applyFill="1" applyBorder="1" applyAlignment="1" applyProtection="1">
      <alignment horizontal="right" vertical="center"/>
      <protection locked="0"/>
    </xf>
    <xf numFmtId="1" fontId="6" fillId="25" borderId="103" xfId="5" applyNumberFormat="1" applyFont="1" applyFill="1" applyBorder="1" applyAlignment="1" applyProtection="1">
      <alignment horizontal="right" vertical="center"/>
      <protection locked="0"/>
    </xf>
    <xf numFmtId="0" fontId="6" fillId="25" borderId="38" xfId="5" applyFont="1" applyFill="1" applyBorder="1" applyAlignment="1">
      <alignment horizontal="left" vertical="center" wrapText="1"/>
    </xf>
    <xf numFmtId="1" fontId="8" fillId="0" borderId="11" xfId="5" applyNumberFormat="1" applyFont="1" applyBorder="1" applyAlignment="1" applyProtection="1">
      <alignment horizontal="right" vertical="center"/>
      <protection locked="0"/>
    </xf>
    <xf numFmtId="1" fontId="8" fillId="0" borderId="9" xfId="5" applyNumberFormat="1" applyFont="1" applyBorder="1" applyAlignment="1" applyProtection="1">
      <alignment horizontal="right" vertical="center"/>
      <protection locked="0"/>
    </xf>
    <xf numFmtId="1" fontId="8" fillId="24" borderId="36" xfId="5" applyNumberFormat="1" applyFont="1" applyFill="1" applyBorder="1" applyAlignment="1" applyProtection="1">
      <alignment horizontal="right" vertical="center"/>
      <protection locked="0"/>
    </xf>
    <xf numFmtId="1" fontId="8" fillId="24" borderId="3" xfId="5" applyNumberFormat="1" applyFont="1" applyFill="1" applyBorder="1" applyAlignment="1" applyProtection="1">
      <alignment horizontal="right" vertical="center"/>
      <protection locked="0"/>
    </xf>
    <xf numFmtId="1" fontId="6" fillId="24" borderId="3" xfId="5" applyNumberFormat="1" applyFont="1" applyFill="1" applyBorder="1" applyAlignment="1" applyProtection="1">
      <alignment horizontal="right" vertical="center"/>
      <protection locked="0"/>
    </xf>
    <xf numFmtId="1" fontId="6" fillId="24" borderId="11" xfId="5" applyNumberFormat="1" applyFont="1" applyFill="1" applyBorder="1" applyAlignment="1" applyProtection="1">
      <alignment horizontal="right" vertical="center"/>
      <protection locked="0"/>
    </xf>
    <xf numFmtId="1" fontId="6" fillId="24" borderId="9" xfId="5" applyNumberFormat="1" applyFont="1" applyFill="1" applyBorder="1" applyAlignment="1" applyProtection="1">
      <alignment horizontal="right" vertical="center"/>
      <protection locked="0"/>
    </xf>
    <xf numFmtId="0" fontId="6" fillId="24" borderId="39" xfId="5" applyFont="1" applyFill="1" applyBorder="1" applyAlignment="1">
      <alignment horizontal="left" vertical="center" wrapText="1"/>
    </xf>
    <xf numFmtId="0" fontId="8" fillId="0" borderId="109" xfId="77" applyFont="1" applyBorder="1" applyAlignment="1">
      <alignment vertical="center" wrapText="1"/>
    </xf>
    <xf numFmtId="0" fontId="8" fillId="0" borderId="38" xfId="5" applyFont="1" applyBorder="1" applyAlignment="1">
      <alignment horizontal="left" vertical="center" wrapText="1"/>
    </xf>
    <xf numFmtId="1" fontId="8" fillId="0" borderId="6" xfId="5" applyNumberFormat="1" applyFont="1" applyBorder="1" applyAlignment="1" applyProtection="1">
      <alignment horizontal="right" vertical="center"/>
      <protection locked="0"/>
    </xf>
    <xf numFmtId="1" fontId="6" fillId="0" borderId="36" xfId="5" applyNumberFormat="1" applyFont="1" applyBorder="1" applyAlignment="1" applyProtection="1">
      <alignment horizontal="right" vertical="center"/>
      <protection locked="0"/>
    </xf>
    <xf numFmtId="0" fontId="6" fillId="0" borderId="38" xfId="5" applyFont="1" applyBorder="1" applyAlignment="1">
      <alignment horizontal="left" vertical="center" wrapText="1"/>
    </xf>
    <xf numFmtId="1" fontId="8" fillId="0" borderId="17" xfId="5" applyNumberFormat="1" applyFont="1" applyBorder="1" applyAlignment="1" applyProtection="1">
      <alignment horizontal="right" vertical="center"/>
      <protection locked="0"/>
    </xf>
    <xf numFmtId="1" fontId="6" fillId="0" borderId="17" xfId="5" applyNumberFormat="1" applyFont="1" applyBorder="1" applyAlignment="1" applyProtection="1">
      <alignment horizontal="right" vertical="center"/>
      <protection locked="0"/>
    </xf>
    <xf numFmtId="1" fontId="8" fillId="0" borderId="41" xfId="5" applyNumberFormat="1" applyFont="1" applyBorder="1" applyAlignment="1" applyProtection="1">
      <alignment horizontal="right" vertical="center"/>
      <protection locked="0"/>
    </xf>
    <xf numFmtId="1" fontId="6" fillId="0" borderId="12" xfId="5" applyNumberFormat="1" applyFont="1" applyBorder="1" applyAlignment="1" applyProtection="1">
      <alignment horizontal="right" vertical="center"/>
      <protection locked="0"/>
    </xf>
    <xf numFmtId="1" fontId="6" fillId="41" borderId="41" xfId="5" applyNumberFormat="1" applyFont="1" applyFill="1" applyBorder="1" applyAlignment="1" applyProtection="1">
      <alignment horizontal="right" vertical="center"/>
      <protection locked="0"/>
    </xf>
    <xf numFmtId="1" fontId="6" fillId="41" borderId="11" xfId="5" applyNumberFormat="1" applyFont="1" applyFill="1" applyBorder="1" applyAlignment="1" applyProtection="1">
      <alignment horizontal="right" vertical="center"/>
      <protection locked="0"/>
    </xf>
    <xf numFmtId="1" fontId="6" fillId="41" borderId="9" xfId="5" applyNumberFormat="1" applyFont="1" applyFill="1" applyBorder="1" applyAlignment="1" applyProtection="1">
      <alignment horizontal="right" vertical="center"/>
      <protection locked="0"/>
    </xf>
    <xf numFmtId="0" fontId="6" fillId="41" borderId="109" xfId="77" applyFont="1" applyFill="1" applyBorder="1" applyAlignment="1">
      <alignment vertical="center" wrapText="1"/>
    </xf>
    <xf numFmtId="0" fontId="6" fillId="41" borderId="109" xfId="77" applyFont="1" applyFill="1" applyBorder="1" applyAlignment="1">
      <alignment horizontal="center" wrapText="1"/>
    </xf>
    <xf numFmtId="43" fontId="6" fillId="41" borderId="109" xfId="1" applyFont="1" applyFill="1" applyBorder="1" applyAlignment="1" applyProtection="1">
      <alignment horizontal="center" vertical="center"/>
    </xf>
    <xf numFmtId="0" fontId="8" fillId="0" borderId="39" xfId="5" applyFont="1" applyBorder="1" applyAlignment="1">
      <alignment horizontal="center"/>
    </xf>
    <xf numFmtId="181" fontId="8" fillId="0" borderId="39" xfId="133" applyNumberFormat="1" applyFont="1" applyFill="1" applyBorder="1" applyAlignment="1" applyProtection="1">
      <alignment horizontal="center" wrapText="1"/>
    </xf>
    <xf numFmtId="1" fontId="8" fillId="0" borderId="42" xfId="5" applyNumberFormat="1" applyFont="1" applyBorder="1" applyAlignment="1" applyProtection="1">
      <alignment horizontal="right" vertical="center"/>
      <protection locked="0"/>
    </xf>
    <xf numFmtId="1" fontId="8" fillId="0" borderId="43" xfId="5" applyNumberFormat="1" applyFont="1" applyBorder="1" applyAlignment="1" applyProtection="1">
      <alignment horizontal="right" vertical="center"/>
      <protection locked="0"/>
    </xf>
    <xf numFmtId="1" fontId="6" fillId="0" borderId="43" xfId="5" applyNumberFormat="1" applyFont="1" applyBorder="1" applyAlignment="1" applyProtection="1">
      <alignment horizontal="right" vertical="center"/>
      <protection locked="0"/>
    </xf>
    <xf numFmtId="1" fontId="6" fillId="0" borderId="19" xfId="5" applyNumberFormat="1" applyFont="1" applyBorder="1" applyAlignment="1" applyProtection="1">
      <alignment horizontal="right" vertical="center"/>
      <protection locked="0"/>
    </xf>
    <xf numFmtId="0" fontId="6" fillId="0" borderId="44" xfId="5" applyFont="1" applyBorder="1" applyAlignment="1">
      <alignment horizontal="left" vertical="center" wrapText="1"/>
    </xf>
    <xf numFmtId="181" fontId="8" fillId="0" borderId="44" xfId="133" applyNumberFormat="1" applyFont="1" applyFill="1" applyBorder="1" applyAlignment="1" applyProtection="1">
      <alignment horizontal="center" wrapText="1"/>
    </xf>
    <xf numFmtId="4" fontId="8" fillId="0" borderId="0" xfId="4" applyNumberFormat="1" applyFont="1" applyAlignment="1">
      <alignment vertical="center"/>
    </xf>
    <xf numFmtId="43" fontId="8" fillId="0" borderId="0" xfId="1" applyFont="1" applyFill="1" applyBorder="1" applyAlignment="1" applyProtection="1">
      <alignment horizontal="center" vertical="center"/>
    </xf>
    <xf numFmtId="0" fontId="63" fillId="0" borderId="0" xfId="80" applyFont="1"/>
    <xf numFmtId="0" fontId="7" fillId="0" borderId="0" xfId="80"/>
    <xf numFmtId="0" fontId="87" fillId="5" borderId="111" xfId="134" applyFont="1" applyFill="1" applyBorder="1" applyAlignment="1">
      <alignment horizontal="right" vertical="center"/>
    </xf>
    <xf numFmtId="0" fontId="89" fillId="42" borderId="111" xfId="134" applyFont="1" applyFill="1" applyBorder="1" applyAlignment="1">
      <alignment vertical="center"/>
    </xf>
    <xf numFmtId="0" fontId="89" fillId="42" borderId="111" xfId="134" applyFont="1" applyFill="1" applyBorder="1" applyAlignment="1">
      <alignment horizontal="center" vertical="center"/>
    </xf>
    <xf numFmtId="0" fontId="89" fillId="0" borderId="111" xfId="134" applyFont="1" applyBorder="1" applyAlignment="1">
      <alignment vertical="center"/>
    </xf>
    <xf numFmtId="0" fontId="69" fillId="7" borderId="111" xfId="134" applyFont="1" applyFill="1" applyBorder="1" applyAlignment="1">
      <alignment horizontal="left" vertical="center"/>
    </xf>
    <xf numFmtId="0" fontId="87" fillId="0" borderId="111" xfId="134" applyFont="1" applyBorder="1" applyAlignment="1">
      <alignment vertical="center"/>
    </xf>
    <xf numFmtId="0" fontId="87" fillId="0" borderId="111" xfId="134" applyFont="1" applyBorder="1" applyAlignment="1">
      <alignment horizontal="left" vertical="center"/>
    </xf>
    <xf numFmtId="37" fontId="89" fillId="42" borderId="111" xfId="135" applyNumberFormat="1" applyFont="1" applyFill="1" applyBorder="1" applyAlignment="1">
      <alignment horizontal="center" vertical="center"/>
    </xf>
    <xf numFmtId="3" fontId="63" fillId="0" borderId="0" xfId="80" applyNumberFormat="1" applyFont="1"/>
    <xf numFmtId="3" fontId="7" fillId="0" borderId="0" xfId="80" applyNumberFormat="1"/>
    <xf numFmtId="0" fontId="93" fillId="0" borderId="111" xfId="134" applyFont="1" applyBorder="1" applyAlignment="1">
      <alignment vertical="center"/>
    </xf>
    <xf numFmtId="164" fontId="7" fillId="0" borderId="0" xfId="80" applyNumberFormat="1"/>
    <xf numFmtId="0" fontId="94" fillId="14" borderId="111" xfId="134" applyFont="1" applyFill="1" applyBorder="1" applyAlignment="1">
      <alignment vertical="center"/>
    </xf>
    <xf numFmtId="0" fontId="95" fillId="0" borderId="111" xfId="134" applyFont="1" applyBorder="1" applyAlignment="1">
      <alignment vertical="center"/>
    </xf>
    <xf numFmtId="0" fontId="93" fillId="0" borderId="111" xfId="134" applyFont="1" applyBorder="1" applyAlignment="1">
      <alignment horizontal="left" vertical="center" wrapText="1"/>
    </xf>
    <xf numFmtId="0" fontId="93" fillId="0" borderId="111" xfId="134" applyFont="1" applyBorder="1" applyAlignment="1">
      <alignment horizontal="left" vertical="center"/>
    </xf>
    <xf numFmtId="0" fontId="7" fillId="0" borderId="0" xfId="80" applyAlignment="1">
      <alignment horizontal="right"/>
    </xf>
    <xf numFmtId="0" fontId="63" fillId="0" borderId="0" xfId="80" quotePrefix="1" applyFont="1"/>
    <xf numFmtId="0" fontId="89" fillId="0" borderId="111" xfId="134" applyFont="1" applyBorder="1" applyAlignment="1">
      <alignment horizontal="left" vertical="center"/>
    </xf>
    <xf numFmtId="0" fontId="89" fillId="0" borderId="111" xfId="134" applyFont="1" applyBorder="1" applyAlignment="1">
      <alignment vertical="center" wrapText="1"/>
    </xf>
    <xf numFmtId="0" fontId="91" fillId="0" borderId="111" xfId="134" applyFont="1" applyBorder="1" applyAlignment="1">
      <alignment horizontal="center" vertical="center"/>
    </xf>
    <xf numFmtId="0" fontId="87" fillId="0" borderId="111" xfId="134" applyFont="1" applyBorder="1" applyAlignment="1">
      <alignment horizontal="center" vertical="center"/>
    </xf>
    <xf numFmtId="0" fontId="89" fillId="0" borderId="112" xfId="134" applyFont="1" applyBorder="1" applyAlignment="1">
      <alignment horizontal="left" vertical="center"/>
    </xf>
    <xf numFmtId="0" fontId="89" fillId="0" borderId="112" xfId="134" applyFont="1" applyBorder="1" applyAlignment="1">
      <alignment horizontal="center" vertical="center"/>
    </xf>
    <xf numFmtId="176" fontId="6" fillId="0" borderId="0" xfId="1" applyNumberFormat="1" applyFont="1" applyAlignment="1">
      <alignment vertical="center"/>
    </xf>
    <xf numFmtId="176" fontId="10" fillId="0" borderId="1" xfId="1" quotePrefix="1" applyNumberFormat="1" applyFont="1" applyFill="1" applyBorder="1" applyAlignment="1" applyProtection="1">
      <alignment vertical="center"/>
    </xf>
    <xf numFmtId="176" fontId="10" fillId="0" borderId="2" xfId="1" quotePrefix="1" applyNumberFormat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left" vertical="center"/>
    </xf>
    <xf numFmtId="176" fontId="10" fillId="0" borderId="3" xfId="1" quotePrefix="1" applyNumberFormat="1" applyFont="1" applyFill="1" applyBorder="1" applyAlignment="1" applyProtection="1">
      <alignment horizontal="center" vertical="center" wrapText="1"/>
    </xf>
    <xf numFmtId="176" fontId="10" fillId="0" borderId="10" xfId="1" applyNumberFormat="1" applyFont="1" applyFill="1" applyBorder="1" applyAlignment="1">
      <alignment vertical="center"/>
    </xf>
    <xf numFmtId="176" fontId="10" fillId="0" borderId="11" xfId="1" applyNumberFormat="1" applyFont="1" applyFill="1" applyBorder="1" applyAlignment="1" applyProtection="1">
      <alignment horizontal="right" vertical="center" wrapText="1"/>
    </xf>
    <xf numFmtId="176" fontId="11" fillId="0" borderId="14" xfId="1" applyNumberFormat="1" applyFont="1" applyFill="1" applyBorder="1" applyAlignment="1" applyProtection="1">
      <alignment horizontal="left" vertical="center"/>
    </xf>
    <xf numFmtId="176" fontId="10" fillId="0" borderId="15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Fill="1" applyBorder="1" applyAlignment="1" applyProtection="1">
      <alignment horizontal="left" vertical="center"/>
    </xf>
    <xf numFmtId="176" fontId="11" fillId="0" borderId="14" xfId="1" applyNumberFormat="1" applyFont="1" applyFill="1" applyBorder="1" applyAlignment="1">
      <alignment vertical="center"/>
    </xf>
    <xf numFmtId="176" fontId="15" fillId="0" borderId="14" xfId="1" applyNumberFormat="1" applyFont="1" applyFill="1" applyBorder="1" applyAlignment="1" applyProtection="1">
      <alignment horizontal="right" vertical="center"/>
    </xf>
    <xf numFmtId="176" fontId="13" fillId="0" borderId="14" xfId="1" applyNumberFormat="1" applyFont="1" applyBorder="1" applyAlignment="1" applyProtection="1">
      <alignment horizontal="right" vertical="center"/>
    </xf>
    <xf numFmtId="176" fontId="13" fillId="0" borderId="14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Fill="1" applyBorder="1" applyAlignment="1" applyProtection="1">
      <alignment horizontal="right" vertical="center"/>
    </xf>
    <xf numFmtId="176" fontId="15" fillId="0" borderId="14" xfId="1" applyNumberFormat="1" applyFont="1" applyBorder="1" applyAlignment="1" applyProtection="1">
      <alignment horizontal="right" vertical="center"/>
    </xf>
    <xf numFmtId="176" fontId="11" fillId="0" borderId="14" xfId="1" applyNumberFormat="1" applyFont="1" applyFill="1" applyBorder="1" applyAlignment="1" applyProtection="1">
      <alignment horizontal="right" vertical="center"/>
    </xf>
    <xf numFmtId="176" fontId="11" fillId="2" borderId="17" xfId="1" applyNumberFormat="1" applyFont="1" applyFill="1" applyBorder="1" applyAlignment="1" applyProtection="1">
      <alignment horizontal="right" vertical="center"/>
    </xf>
    <xf numFmtId="176" fontId="11" fillId="4" borderId="17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Border="1" applyAlignment="1" applyProtection="1">
      <alignment horizontal="right" vertical="center"/>
    </xf>
    <xf numFmtId="176" fontId="11" fillId="0" borderId="14" xfId="1" applyNumberFormat="1" applyFont="1" applyBorder="1" applyAlignment="1" applyProtection="1">
      <alignment horizontal="right" vertical="center"/>
    </xf>
    <xf numFmtId="176" fontId="11" fillId="0" borderId="19" xfId="1" applyNumberFormat="1" applyFont="1" applyBorder="1" applyAlignment="1" applyProtection="1">
      <alignment horizontal="right" vertical="center"/>
    </xf>
    <xf numFmtId="176" fontId="11" fillId="0" borderId="19" xfId="1" applyNumberFormat="1" applyFont="1" applyFill="1" applyBorder="1" applyAlignment="1" applyProtection="1">
      <alignment horizontal="right" vertical="center"/>
    </xf>
    <xf numFmtId="176" fontId="11" fillId="2" borderId="22" xfId="1" applyNumberFormat="1" applyFont="1" applyFill="1" applyBorder="1" applyAlignment="1" applyProtection="1">
      <alignment horizontal="right" vertical="center"/>
    </xf>
    <xf numFmtId="176" fontId="11" fillId="0" borderId="15" xfId="1" applyNumberFormat="1" applyFont="1" applyBorder="1" applyAlignment="1" applyProtection="1">
      <alignment horizontal="right" vertical="center"/>
    </xf>
    <xf numFmtId="176" fontId="11" fillId="0" borderId="15" xfId="1" applyNumberFormat="1" applyFont="1" applyFill="1" applyBorder="1" applyAlignment="1" applyProtection="1">
      <alignment horizontal="right" vertical="center"/>
    </xf>
    <xf numFmtId="176" fontId="10" fillId="0" borderId="15" xfId="1" applyNumberFormat="1" applyFont="1" applyFill="1" applyBorder="1" applyAlignment="1">
      <alignment horizontal="right" vertical="center"/>
    </xf>
    <xf numFmtId="176" fontId="11" fillId="2" borderId="3" xfId="1" applyNumberFormat="1" applyFont="1" applyFill="1" applyBorder="1" applyAlignment="1" applyProtection="1">
      <alignment horizontal="right" vertical="center"/>
    </xf>
    <xf numFmtId="176" fontId="11" fillId="4" borderId="3" xfId="1" applyNumberFormat="1" applyFont="1" applyFill="1" applyBorder="1" applyAlignment="1" applyProtection="1">
      <alignment horizontal="right" vertical="center"/>
    </xf>
    <xf numFmtId="176" fontId="11" fillId="0" borderId="19" xfId="1" applyNumberFormat="1" applyFont="1" applyBorder="1" applyAlignment="1">
      <alignment horizontal="right" vertical="center"/>
    </xf>
    <xf numFmtId="176" fontId="11" fillId="0" borderId="19" xfId="1" applyNumberFormat="1" applyFont="1" applyFill="1" applyBorder="1" applyAlignment="1">
      <alignment horizontal="right" vertical="center"/>
    </xf>
    <xf numFmtId="176" fontId="11" fillId="2" borderId="21" xfId="1" applyNumberFormat="1" applyFont="1" applyFill="1" applyBorder="1" applyAlignment="1" applyProtection="1">
      <alignment horizontal="right" vertical="center"/>
    </xf>
    <xf numFmtId="176" fontId="11" fillId="4" borderId="21" xfId="1" applyNumberFormat="1" applyFont="1" applyFill="1" applyBorder="1" applyAlignment="1" applyProtection="1">
      <alignment horizontal="right" vertical="center"/>
    </xf>
    <xf numFmtId="176" fontId="10" fillId="0" borderId="15" xfId="1" applyNumberFormat="1" applyFont="1" applyBorder="1" applyAlignment="1">
      <alignment horizontal="right" vertical="center"/>
    </xf>
    <xf numFmtId="176" fontId="11" fillId="0" borderId="15" xfId="1" applyNumberFormat="1" applyFont="1" applyFill="1" applyBorder="1" applyAlignment="1">
      <alignment horizontal="right" vertical="center"/>
    </xf>
    <xf numFmtId="176" fontId="11" fillId="0" borderId="29" xfId="1" applyNumberFormat="1" applyFont="1" applyFill="1" applyBorder="1" applyAlignment="1">
      <alignment horizontal="right" vertical="center"/>
    </xf>
    <xf numFmtId="176" fontId="0" fillId="0" borderId="0" xfId="1" applyNumberFormat="1" applyFont="1"/>
    <xf numFmtId="176" fontId="8" fillId="0" borderId="0" xfId="1" applyNumberFormat="1" applyFont="1" applyFill="1" applyAlignment="1">
      <alignment vertical="center" wrapText="1"/>
    </xf>
    <xf numFmtId="176" fontId="62" fillId="14" borderId="110" xfId="1" applyNumberFormat="1" applyFont="1" applyFill="1" applyBorder="1" applyAlignment="1">
      <alignment horizontal="center" vertical="center"/>
    </xf>
    <xf numFmtId="176" fontId="88" fillId="0" borderId="111" xfId="1" applyNumberFormat="1" applyFont="1" applyFill="1" applyBorder="1" applyAlignment="1">
      <alignment horizontal="right" vertical="center"/>
    </xf>
    <xf numFmtId="176" fontId="89" fillId="0" borderId="111" xfId="1" applyNumberFormat="1" applyFont="1" applyFill="1" applyBorder="1" applyAlignment="1">
      <alignment horizontal="right" vertical="center"/>
    </xf>
    <xf numFmtId="176" fontId="90" fillId="42" borderId="111" xfId="1" applyNumberFormat="1" applyFont="1" applyFill="1" applyBorder="1" applyAlignment="1">
      <alignment horizontal="right" vertical="center"/>
    </xf>
    <xf numFmtId="176" fontId="91" fillId="42" borderId="111" xfId="1" applyNumberFormat="1" applyFont="1" applyFill="1" applyBorder="1" applyAlignment="1">
      <alignment horizontal="right" vertical="center"/>
    </xf>
    <xf numFmtId="176" fontId="89" fillId="0" borderId="111" xfId="1" applyNumberFormat="1" applyFont="1" applyBorder="1" applyAlignment="1">
      <alignment horizontal="right" vertical="center"/>
    </xf>
    <xf numFmtId="176" fontId="64" fillId="0" borderId="111" xfId="1" applyNumberFormat="1" applyFont="1" applyBorder="1" applyAlignment="1">
      <alignment vertical="center"/>
    </xf>
    <xf numFmtId="176" fontId="7" fillId="0" borderId="111" xfId="1" applyNumberFormat="1" applyFont="1" applyBorder="1" applyAlignment="1">
      <alignment vertical="center"/>
    </xf>
    <xf numFmtId="176" fontId="87" fillId="0" borderId="111" xfId="1" applyNumberFormat="1" applyFont="1" applyFill="1" applyBorder="1" applyAlignment="1">
      <alignment horizontal="right" vertical="center"/>
    </xf>
    <xf numFmtId="176" fontId="89" fillId="42" borderId="111" xfId="1" applyNumberFormat="1" applyFont="1" applyFill="1" applyBorder="1" applyAlignment="1">
      <alignment horizontal="right" vertical="center"/>
    </xf>
    <xf numFmtId="176" fontId="87" fillId="43" borderId="111" xfId="1" applyNumberFormat="1" applyFont="1" applyFill="1" applyBorder="1" applyAlignment="1">
      <alignment horizontal="right" vertical="center"/>
    </xf>
    <xf numFmtId="176" fontId="87" fillId="0" borderId="111" xfId="1" applyNumberFormat="1" applyFont="1" applyBorder="1" applyAlignment="1">
      <alignment horizontal="right" vertical="center"/>
    </xf>
    <xf numFmtId="176" fontId="89" fillId="14" borderId="111" xfId="1" applyNumberFormat="1" applyFont="1" applyFill="1" applyBorder="1" applyAlignment="1">
      <alignment horizontal="right" vertical="center"/>
    </xf>
    <xf numFmtId="176" fontId="96" fillId="0" borderId="111" xfId="1" applyNumberFormat="1" applyFont="1" applyBorder="1" applyAlignment="1">
      <alignment vertical="center"/>
    </xf>
    <xf numFmtId="176" fontId="95" fillId="0" borderId="111" xfId="1" applyNumberFormat="1" applyFont="1" applyBorder="1" applyAlignment="1">
      <alignment vertical="center"/>
    </xf>
    <xf numFmtId="176" fontId="89" fillId="43" borderId="111" xfId="1" applyNumberFormat="1" applyFont="1" applyFill="1" applyBorder="1" applyAlignment="1">
      <alignment horizontal="right" vertical="center"/>
    </xf>
    <xf numFmtId="176" fontId="97" fillId="0" borderId="111" xfId="1" applyNumberFormat="1" applyFont="1" applyBorder="1" applyAlignment="1">
      <alignment horizontal="right" vertical="center"/>
    </xf>
    <xf numFmtId="176" fontId="91" fillId="0" borderId="111" xfId="1" applyNumberFormat="1" applyFont="1" applyFill="1" applyBorder="1" applyAlignment="1">
      <alignment horizontal="right" vertical="center"/>
    </xf>
    <xf numFmtId="176" fontId="89" fillId="0" borderId="112" xfId="1" applyNumberFormat="1" applyFont="1" applyFill="1" applyBorder="1" applyAlignment="1">
      <alignment horizontal="right" vertical="center"/>
    </xf>
    <xf numFmtId="176" fontId="64" fillId="0" borderId="0" xfId="1" applyNumberFormat="1" applyFont="1"/>
    <xf numFmtId="176" fontId="7" fillId="0" borderId="0" xfId="1" applyNumberFormat="1" applyFont="1"/>
    <xf numFmtId="176" fontId="10" fillId="0" borderId="0" xfId="80" applyNumberFormat="1" applyFont="1" applyAlignment="1">
      <alignment vertical="center"/>
    </xf>
    <xf numFmtId="43" fontId="8" fillId="0" borderId="0" xfId="1" applyFont="1" applyAlignment="1"/>
    <xf numFmtId="0" fontId="7" fillId="0" borderId="0" xfId="0" applyFont="1" applyAlignment="1">
      <alignment vertical="center"/>
    </xf>
    <xf numFmtId="0" fontId="12" fillId="0" borderId="61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166" fontId="10" fillId="0" borderId="4" xfId="2" quotePrefix="1" applyNumberFormat="1" applyFont="1" applyFill="1" applyBorder="1" applyAlignment="1" applyProtection="1">
      <alignment horizontal="center" vertical="center" wrapText="1"/>
    </xf>
    <xf numFmtId="166" fontId="10" fillId="0" borderId="5" xfId="2" quotePrefix="1" applyNumberFormat="1" applyFont="1" applyFill="1" applyBorder="1" applyAlignment="1" applyProtection="1">
      <alignment horizontal="center" vertical="center" wrapText="1"/>
    </xf>
    <xf numFmtId="176" fontId="10" fillId="0" borderId="25" xfId="1" quotePrefix="1" applyNumberFormat="1" applyFont="1" applyFill="1" applyBorder="1" applyAlignment="1" applyProtection="1">
      <alignment horizontal="center" vertical="center" wrapText="1"/>
    </xf>
    <xf numFmtId="176" fontId="10" fillId="0" borderId="99" xfId="1" quotePrefix="1" applyNumberFormat="1" applyFont="1" applyFill="1" applyBorder="1" applyAlignment="1" applyProtection="1">
      <alignment horizontal="center" vertical="center" wrapText="1"/>
    </xf>
    <xf numFmtId="176" fontId="10" fillId="0" borderId="100" xfId="1" quotePrefix="1" applyNumberFormat="1" applyFont="1" applyFill="1" applyBorder="1" applyAlignment="1" applyProtection="1">
      <alignment horizontal="center" vertical="center" wrapText="1"/>
    </xf>
    <xf numFmtId="176" fontId="10" fillId="0" borderId="37" xfId="1" quotePrefix="1" applyNumberFormat="1" applyFont="1" applyFill="1" applyBorder="1" applyAlignment="1" applyProtection="1">
      <alignment horizontal="center" vertical="center" wrapText="1"/>
    </xf>
    <xf numFmtId="0" fontId="42" fillId="25" borderId="23" xfId="4" applyFont="1" applyFill="1" applyBorder="1" applyAlignment="1">
      <alignment horizontal="center" vertical="center"/>
    </xf>
    <xf numFmtId="0" fontId="42" fillId="25" borderId="24" xfId="4" applyFont="1" applyFill="1" applyBorder="1" applyAlignment="1">
      <alignment horizontal="center" vertical="center"/>
    </xf>
    <xf numFmtId="0" fontId="42" fillId="25" borderId="57" xfId="4" applyFont="1" applyFill="1" applyBorder="1" applyAlignment="1">
      <alignment horizontal="center" vertical="center"/>
    </xf>
    <xf numFmtId="164" fontId="44" fillId="23" borderId="27" xfId="116" applyFont="1" applyFill="1" applyBorder="1" applyAlignment="1">
      <alignment horizontal="center" vertical="center"/>
    </xf>
    <xf numFmtId="43" fontId="6" fillId="35" borderId="33" xfId="1" applyFont="1" applyFill="1" applyBorder="1" applyAlignment="1" applyProtection="1">
      <alignment horizontal="center" vertical="center" wrapText="1"/>
    </xf>
    <xf numFmtId="43" fontId="6" fillId="35" borderId="35" xfId="1" applyFont="1" applyFill="1" applyBorder="1" applyAlignment="1" applyProtection="1">
      <alignment horizontal="center" vertical="center" wrapText="1"/>
    </xf>
    <xf numFmtId="43" fontId="6" fillId="4" borderId="33" xfId="1" applyFont="1" applyFill="1" applyBorder="1" applyAlignment="1" applyProtection="1">
      <alignment horizontal="center" vertical="center" wrapText="1"/>
    </xf>
    <xf numFmtId="43" fontId="6" fillId="4" borderId="35" xfId="1" applyFont="1" applyFill="1" applyBorder="1" applyAlignment="1" applyProtection="1">
      <alignment horizontal="center" vertical="center" wrapText="1"/>
    </xf>
    <xf numFmtId="0" fontId="6" fillId="35" borderId="34" xfId="5" applyFont="1" applyFill="1" applyBorder="1" applyAlignment="1">
      <alignment horizontal="center" vertical="center" wrapText="1"/>
    </xf>
    <xf numFmtId="0" fontId="6" fillId="35" borderId="33" xfId="5" applyFont="1" applyFill="1" applyBorder="1" applyAlignment="1">
      <alignment horizontal="center" vertical="center" wrapText="1"/>
    </xf>
    <xf numFmtId="0" fontId="6" fillId="35" borderId="35" xfId="5" applyFont="1" applyFill="1" applyBorder="1" applyAlignment="1">
      <alignment horizontal="center" vertical="center" wrapText="1"/>
    </xf>
    <xf numFmtId="43" fontId="11" fillId="2" borderId="18" xfId="1" applyFont="1" applyFill="1" applyBorder="1" applyAlignment="1" applyProtection="1">
      <alignment horizontal="left" vertical="center"/>
    </xf>
    <xf numFmtId="43" fontId="11" fillId="2" borderId="19" xfId="1" applyFont="1" applyFill="1" applyBorder="1" applyAlignment="1" applyProtection="1">
      <alignment horizontal="left" vertical="center"/>
    </xf>
    <xf numFmtId="43" fontId="11" fillId="2" borderId="27" xfId="1" applyFont="1" applyFill="1" applyBorder="1" applyAlignment="1" applyProtection="1">
      <alignment horizontal="left" vertical="center"/>
    </xf>
    <xf numFmtId="43" fontId="11" fillId="2" borderId="104" xfId="1" applyFont="1" applyFill="1" applyBorder="1" applyAlignment="1" applyProtection="1">
      <alignment horizontal="left" vertical="center"/>
    </xf>
    <xf numFmtId="43" fontId="13" fillId="0" borderId="0" xfId="1" applyFont="1" applyFill="1" applyBorder="1" applyAlignment="1" applyProtection="1">
      <alignment horizontal="left" vertical="center" wrapText="1"/>
    </xf>
    <xf numFmtId="43" fontId="13" fillId="0" borderId="14" xfId="1" applyFont="1" applyFill="1" applyBorder="1" applyAlignment="1" applyProtection="1">
      <alignment horizontal="left" vertical="center" wrapText="1"/>
    </xf>
    <xf numFmtId="43" fontId="11" fillId="2" borderId="45" xfId="1" applyFont="1" applyFill="1" applyBorder="1" applyAlignment="1" applyProtection="1">
      <alignment vertical="center"/>
    </xf>
    <xf numFmtId="43" fontId="11" fillId="2" borderId="2" xfId="1" applyFont="1" applyFill="1" applyBorder="1" applyAlignment="1" applyProtection="1">
      <alignment vertical="center"/>
    </xf>
    <xf numFmtId="43" fontId="11" fillId="2" borderId="9" xfId="1" applyFont="1" applyFill="1" applyBorder="1" applyAlignment="1" applyProtection="1">
      <alignment vertical="center"/>
    </xf>
    <xf numFmtId="43" fontId="11" fillId="2" borderId="17" xfId="1" applyFont="1" applyFill="1" applyBorder="1" applyAlignment="1" applyProtection="1">
      <alignment vertical="center"/>
    </xf>
    <xf numFmtId="43" fontId="11" fillId="2" borderId="0" xfId="1" applyFont="1" applyFill="1" applyBorder="1" applyAlignment="1" applyProtection="1">
      <alignment vertical="center"/>
    </xf>
    <xf numFmtId="43" fontId="11" fillId="2" borderId="30" xfId="1" applyFont="1" applyFill="1" applyBorder="1" applyAlignment="1" applyProtection="1">
      <alignment vertical="center"/>
    </xf>
    <xf numFmtId="43" fontId="11" fillId="2" borderId="31" xfId="1" applyFont="1" applyFill="1" applyBorder="1" applyAlignment="1" applyProtection="1">
      <alignment vertical="center"/>
    </xf>
    <xf numFmtId="43" fontId="11" fillId="2" borderId="22" xfId="1" applyFont="1" applyFill="1" applyBorder="1" applyAlignment="1" applyProtection="1">
      <alignment vertical="center"/>
    </xf>
    <xf numFmtId="43" fontId="5" fillId="0" borderId="30" xfId="1" applyFont="1" applyBorder="1" applyAlignment="1">
      <alignment horizontal="center" vertical="center" wrapText="1"/>
    </xf>
    <xf numFmtId="43" fontId="5" fillId="0" borderId="31" xfId="1" applyFont="1" applyBorder="1" applyAlignment="1">
      <alignment horizontal="center" vertical="center" wrapText="1"/>
    </xf>
    <xf numFmtId="3" fontId="11" fillId="0" borderId="21" xfId="80" applyNumberFormat="1" applyFont="1" applyBorder="1" applyAlignment="1">
      <alignment horizontal="center" vertical="center"/>
    </xf>
    <xf numFmtId="3" fontId="11" fillId="0" borderId="66" xfId="80" applyNumberFormat="1" applyFont="1" applyBorder="1" applyAlignment="1">
      <alignment horizontal="center" vertical="center"/>
    </xf>
    <xf numFmtId="43" fontId="73" fillId="0" borderId="23" xfId="1" applyFont="1" applyFill="1" applyBorder="1" applyAlignment="1">
      <alignment horizontal="center" vertical="center" wrapText="1"/>
    </xf>
    <xf numFmtId="43" fontId="73" fillId="0" borderId="24" xfId="1" applyFont="1" applyFill="1" applyBorder="1" applyAlignment="1">
      <alignment horizontal="center" vertical="center" wrapText="1"/>
    </xf>
    <xf numFmtId="43" fontId="73" fillId="0" borderId="102" xfId="1" applyFont="1" applyFill="1" applyBorder="1" applyAlignment="1">
      <alignment horizontal="center" vertical="center" wrapText="1"/>
    </xf>
    <xf numFmtId="43" fontId="73" fillId="0" borderId="103" xfId="1" applyFont="1" applyFill="1" applyBorder="1" applyAlignment="1">
      <alignment horizontal="center" vertical="center" wrapText="1"/>
    </xf>
    <xf numFmtId="43" fontId="73" fillId="0" borderId="0" xfId="1" applyFont="1" applyFill="1" applyBorder="1" applyAlignment="1">
      <alignment horizontal="center" vertical="center" wrapText="1"/>
    </xf>
    <xf numFmtId="3" fontId="10" fillId="0" borderId="4" xfId="1" quotePrefix="1" applyNumberFormat="1" applyFont="1" applyFill="1" applyBorder="1" applyAlignment="1" applyProtection="1">
      <alignment horizontal="center" vertical="center" wrapText="1"/>
    </xf>
    <xf numFmtId="3" fontId="10" fillId="0" borderId="3" xfId="1" quotePrefix="1" applyNumberFormat="1" applyFont="1" applyFill="1" applyBorder="1" applyAlignment="1" applyProtection="1">
      <alignment horizontal="center" vertical="center" wrapText="1"/>
    </xf>
    <xf numFmtId="3" fontId="10" fillId="0" borderId="4" xfId="2" quotePrefix="1" applyNumberFormat="1" applyFont="1" applyFill="1" applyBorder="1" applyAlignment="1" applyProtection="1">
      <alignment horizontal="center" vertical="center" wrapText="1"/>
    </xf>
    <xf numFmtId="3" fontId="10" fillId="0" borderId="5" xfId="2" quotePrefix="1" applyNumberFormat="1" applyFont="1" applyFill="1" applyBorder="1" applyAlignment="1" applyProtection="1">
      <alignment horizontal="center" vertical="center" wrapText="1"/>
    </xf>
    <xf numFmtId="43" fontId="11" fillId="2" borderId="6" xfId="1" applyFont="1" applyFill="1" applyBorder="1" applyAlignment="1" applyProtection="1">
      <alignment horizontal="left" vertical="center"/>
    </xf>
    <xf numFmtId="43" fontId="11" fillId="2" borderId="3" xfId="1" applyFont="1" applyFill="1" applyBorder="1" applyAlignment="1" applyProtection="1">
      <alignment horizontal="left" vertical="center"/>
    </xf>
    <xf numFmtId="43" fontId="11" fillId="2" borderId="11" xfId="1" applyFont="1" applyFill="1" applyBorder="1" applyAlignment="1" applyProtection="1">
      <alignment horizontal="left" vertical="center"/>
    </xf>
    <xf numFmtId="43" fontId="11" fillId="2" borderId="6" xfId="1" applyFont="1" applyFill="1" applyBorder="1" applyAlignment="1" applyProtection="1">
      <alignment vertical="center"/>
    </xf>
    <xf numFmtId="43" fontId="11" fillId="2" borderId="3" xfId="1" applyFont="1" applyFill="1" applyBorder="1" applyAlignment="1" applyProtection="1">
      <alignment vertical="center"/>
    </xf>
    <xf numFmtId="43" fontId="11" fillId="2" borderId="15" xfId="1" applyFont="1" applyFill="1" applyBorder="1" applyAlignment="1" applyProtection="1">
      <alignment vertical="center"/>
    </xf>
    <xf numFmtId="43" fontId="11" fillId="2" borderId="37" xfId="1" applyFont="1" applyFill="1" applyBorder="1" applyAlignment="1" applyProtection="1">
      <alignment vertical="center"/>
    </xf>
    <xf numFmtId="0" fontId="5" fillId="0" borderId="30" xfId="80" applyFont="1" applyBorder="1" applyAlignment="1">
      <alignment horizontal="center" vertical="center" wrapText="1"/>
    </xf>
    <xf numFmtId="0" fontId="5" fillId="0" borderId="31" xfId="80" applyFont="1" applyBorder="1" applyAlignment="1">
      <alignment horizontal="center" vertical="center" wrapText="1"/>
    </xf>
    <xf numFmtId="174" fontId="73" fillId="0" borderId="23" xfId="118" applyFont="1" applyBorder="1" applyAlignment="1">
      <alignment horizontal="center" vertical="center" wrapText="1"/>
    </xf>
    <xf numFmtId="174" fontId="73" fillId="0" borderId="24" xfId="118" applyFont="1" applyBorder="1" applyAlignment="1">
      <alignment horizontal="center" vertical="center" wrapText="1"/>
    </xf>
    <xf numFmtId="174" fontId="73" fillId="0" borderId="102" xfId="118" applyFont="1" applyBorder="1" applyAlignment="1">
      <alignment horizontal="center" vertical="center" wrapText="1"/>
    </xf>
    <xf numFmtId="174" fontId="73" fillId="0" borderId="103" xfId="118" applyFont="1" applyBorder="1" applyAlignment="1">
      <alignment horizontal="center" vertical="center" wrapText="1"/>
    </xf>
    <xf numFmtId="174" fontId="73" fillId="0" borderId="0" xfId="118" applyFont="1" applyAlignment="1">
      <alignment horizontal="center" vertical="center" wrapText="1"/>
    </xf>
    <xf numFmtId="43" fontId="15" fillId="0" borderId="0" xfId="1" quotePrefix="1" applyFont="1" applyFill="1" applyBorder="1" applyAlignment="1" applyProtection="1">
      <alignment horizontal="left" vertical="center" wrapText="1"/>
    </xf>
    <xf numFmtId="43" fontId="15" fillId="0" borderId="14" xfId="1" quotePrefix="1" applyFont="1" applyFill="1" applyBorder="1" applyAlignment="1" applyProtection="1">
      <alignment horizontal="left" vertical="center" wrapText="1"/>
    </xf>
    <xf numFmtId="43" fontId="11" fillId="2" borderId="37" xfId="1" applyFont="1" applyFill="1" applyBorder="1" applyAlignment="1" applyProtection="1">
      <alignment horizontal="left" vertical="center"/>
    </xf>
    <xf numFmtId="43" fontId="11" fillId="2" borderId="11" xfId="1" applyFont="1" applyFill="1" applyBorder="1" applyAlignment="1" applyProtection="1">
      <alignment vertical="center"/>
    </xf>
    <xf numFmtId="0" fontId="42" fillId="3" borderId="30" xfId="4" applyFont="1" applyFill="1" applyBorder="1" applyAlignment="1">
      <alignment horizontal="center" vertical="center"/>
    </xf>
    <xf numFmtId="0" fontId="42" fillId="3" borderId="31" xfId="4" applyFont="1" applyFill="1" applyBorder="1" applyAlignment="1">
      <alignment horizontal="center" vertical="center"/>
    </xf>
    <xf numFmtId="0" fontId="42" fillId="3" borderId="32" xfId="4" applyFont="1" applyFill="1" applyBorder="1" applyAlignment="1">
      <alignment horizontal="center" vertical="center"/>
    </xf>
    <xf numFmtId="1" fontId="11" fillId="35" borderId="30" xfId="131" applyNumberFormat="1" applyFont="1" applyFill="1" applyBorder="1" applyAlignment="1">
      <alignment horizontal="center" vertical="center"/>
    </xf>
    <xf numFmtId="1" fontId="11" fillId="35" borderId="31" xfId="131" applyNumberFormat="1" applyFont="1" applyFill="1" applyBorder="1" applyAlignment="1">
      <alignment horizontal="center" vertical="center"/>
    </xf>
    <xf numFmtId="1" fontId="11" fillId="35" borderId="32" xfId="131" applyNumberFormat="1" applyFont="1" applyFill="1" applyBorder="1" applyAlignment="1">
      <alignment horizontal="center" vertical="center"/>
    </xf>
    <xf numFmtId="178" fontId="6" fillId="35" borderId="33" xfId="4" applyNumberFormat="1" applyFont="1" applyFill="1" applyBorder="1" applyAlignment="1">
      <alignment horizontal="center" vertical="center" wrapText="1"/>
    </xf>
    <xf numFmtId="178" fontId="6" fillId="35" borderId="35" xfId="4" applyNumberFormat="1" applyFont="1" applyFill="1" applyBorder="1" applyAlignment="1">
      <alignment horizontal="center" vertical="center" wrapText="1"/>
    </xf>
    <xf numFmtId="0" fontId="6" fillId="35" borderId="33" xfId="5" applyFont="1" applyFill="1" applyBorder="1" applyAlignment="1">
      <alignment horizontal="center" wrapText="1"/>
    </xf>
    <xf numFmtId="0" fontId="6" fillId="35" borderId="35" xfId="5" applyFont="1" applyFill="1" applyBorder="1" applyAlignment="1">
      <alignment horizontal="center" wrapText="1"/>
    </xf>
    <xf numFmtId="43" fontId="6" fillId="0" borderId="33" xfId="1" applyFont="1" applyFill="1" applyBorder="1" applyAlignment="1" applyProtection="1">
      <alignment horizontal="center" vertical="center" wrapText="1"/>
    </xf>
    <xf numFmtId="43" fontId="6" fillId="0" borderId="35" xfId="1" applyFont="1" applyFill="1" applyBorder="1" applyAlignment="1" applyProtection="1">
      <alignment horizontal="center" vertical="center" wrapText="1"/>
    </xf>
    <xf numFmtId="0" fontId="86" fillId="14" borderId="110" xfId="134" applyFont="1" applyFill="1" applyBorder="1" applyAlignment="1">
      <alignment horizontal="left" vertical="center"/>
    </xf>
    <xf numFmtId="0" fontId="66" fillId="0" borderId="0" xfId="80" applyFont="1" applyAlignment="1">
      <alignment horizontal="center" vertical="center" wrapText="1"/>
    </xf>
    <xf numFmtId="43" fontId="6" fillId="35" borderId="3" xfId="1" applyFont="1" applyFill="1" applyBorder="1" applyAlignment="1" applyProtection="1">
      <alignment horizontal="center" vertical="center" wrapText="1"/>
    </xf>
    <xf numFmtId="0" fontId="62" fillId="35" borderId="3" xfId="0" applyFont="1" applyFill="1" applyBorder="1" applyAlignment="1">
      <alignment horizontal="center"/>
    </xf>
    <xf numFmtId="0" fontId="67" fillId="36" borderId="98" xfId="80" applyFont="1" applyFill="1" applyBorder="1" applyAlignment="1">
      <alignment horizontal="center" vertical="center"/>
    </xf>
    <xf numFmtId="0" fontId="67" fillId="36" borderId="81" xfId="80" applyFont="1" applyFill="1" applyBorder="1" applyAlignment="1">
      <alignment horizontal="center" vertical="center"/>
    </xf>
    <xf numFmtId="49" fontId="67" fillId="36" borderId="95" xfId="80" applyNumberFormat="1" applyFont="1" applyFill="1" applyBorder="1" applyAlignment="1">
      <alignment horizontal="center" vertical="center" wrapText="1"/>
    </xf>
    <xf numFmtId="49" fontId="67" fillId="36" borderId="96" xfId="80" applyNumberFormat="1" applyFont="1" applyFill="1" applyBorder="1" applyAlignment="1">
      <alignment horizontal="center" vertical="center" wrapText="1"/>
    </xf>
    <xf numFmtId="49" fontId="67" fillId="36" borderId="97" xfId="80" applyNumberFormat="1" applyFont="1" applyFill="1" applyBorder="1" applyAlignment="1">
      <alignment horizontal="center" vertical="center" wrapText="1"/>
    </xf>
    <xf numFmtId="49" fontId="67" fillId="36" borderId="73" xfId="80" applyNumberFormat="1" applyFont="1" applyFill="1" applyBorder="1" applyAlignment="1">
      <alignment horizontal="center" vertical="center" wrapText="1"/>
    </xf>
    <xf numFmtId="49" fontId="67" fillId="36" borderId="76" xfId="80" applyNumberFormat="1" applyFont="1" applyFill="1" applyBorder="1" applyAlignment="1">
      <alignment horizontal="center" vertical="center" wrapText="1"/>
    </xf>
    <xf numFmtId="49" fontId="67" fillId="36" borderId="80" xfId="80" applyNumberFormat="1" applyFont="1" applyFill="1" applyBorder="1" applyAlignment="1">
      <alignment horizontal="center" vertical="center" wrapText="1"/>
    </xf>
  </cellXfs>
  <cellStyles count="136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 2" xfId="11" xr:uid="{00000000-0005-0000-0000-000004000000}"/>
    <cellStyle name="20% - Colore 6 2" xfId="12" xr:uid="{00000000-0005-0000-0000-000005000000}"/>
    <cellStyle name="40% - Colore 1 2" xfId="13" xr:uid="{00000000-0005-0000-0000-000006000000}"/>
    <cellStyle name="40% - Colore 2 2" xfId="14" xr:uid="{00000000-0005-0000-0000-000007000000}"/>
    <cellStyle name="40% - Colore 3 2" xfId="15" xr:uid="{00000000-0005-0000-0000-000008000000}"/>
    <cellStyle name="40% - Colore 4 2" xfId="16" xr:uid="{00000000-0005-0000-0000-000009000000}"/>
    <cellStyle name="40% - Colore 5 2" xfId="17" xr:uid="{00000000-0005-0000-0000-00000A000000}"/>
    <cellStyle name="40% - Colore 6 2" xfId="18" xr:uid="{00000000-0005-0000-0000-00000B000000}"/>
    <cellStyle name="60% - Colore 1 2" xfId="19" xr:uid="{00000000-0005-0000-0000-00000C000000}"/>
    <cellStyle name="60% - Colore 2 2" xfId="20" xr:uid="{00000000-0005-0000-0000-00000D000000}"/>
    <cellStyle name="60% - Colore 3 2" xfId="21" xr:uid="{00000000-0005-0000-0000-00000E000000}"/>
    <cellStyle name="60% - Colore 4 2" xfId="22" xr:uid="{00000000-0005-0000-0000-00000F000000}"/>
    <cellStyle name="60% - Colore 5 2" xfId="23" xr:uid="{00000000-0005-0000-0000-000010000000}"/>
    <cellStyle name="60% - Colore 6 2" xfId="24" xr:uid="{00000000-0005-0000-0000-000011000000}"/>
    <cellStyle name="Calcolo 2" xfId="25" xr:uid="{00000000-0005-0000-0000-000012000000}"/>
    <cellStyle name="Cella collegata 2" xfId="26" xr:uid="{00000000-0005-0000-0000-000013000000}"/>
    <cellStyle name="Cella da controllare 2" xfId="27" xr:uid="{00000000-0005-0000-0000-000014000000}"/>
    <cellStyle name="Collegamento ipertestuale 2" xfId="28" xr:uid="{00000000-0005-0000-0000-000015000000}"/>
    <cellStyle name="Colore 1 2" xfId="29" xr:uid="{00000000-0005-0000-0000-000016000000}"/>
    <cellStyle name="Colore 2 2" xfId="30" xr:uid="{00000000-0005-0000-0000-000017000000}"/>
    <cellStyle name="Colore 3 2" xfId="31" xr:uid="{00000000-0005-0000-0000-000018000000}"/>
    <cellStyle name="Colore 4 2" xfId="32" xr:uid="{00000000-0005-0000-0000-000019000000}"/>
    <cellStyle name="Colore 5 2" xfId="33" xr:uid="{00000000-0005-0000-0000-00001A000000}"/>
    <cellStyle name="Colore 6 2" xfId="34" xr:uid="{00000000-0005-0000-0000-00001B000000}"/>
    <cellStyle name="Comma [0]_all7_pdc" xfId="35" xr:uid="{00000000-0005-0000-0000-00001C000000}"/>
    <cellStyle name="Comma 2" xfId="36" xr:uid="{00000000-0005-0000-0000-00001D000000}"/>
    <cellStyle name="Comma 2 2" xfId="37" xr:uid="{00000000-0005-0000-0000-00001E000000}"/>
    <cellStyle name="Comma_all7_pdc" xfId="38" xr:uid="{00000000-0005-0000-0000-00001F000000}"/>
    <cellStyle name="Currency [0]_all7_pdc" xfId="39" xr:uid="{00000000-0005-0000-0000-000020000000}"/>
    <cellStyle name="Currency_all7_pdc" xfId="40" xr:uid="{00000000-0005-0000-0000-000021000000}"/>
    <cellStyle name="Euro" xfId="41" xr:uid="{00000000-0005-0000-0000-000022000000}"/>
    <cellStyle name="Euro 2" xfId="42" xr:uid="{00000000-0005-0000-0000-000023000000}"/>
    <cellStyle name="Euro 3" xfId="43" xr:uid="{00000000-0005-0000-0000-000024000000}"/>
    <cellStyle name="Euro 4" xfId="44" xr:uid="{00000000-0005-0000-0000-000025000000}"/>
    <cellStyle name="Euro 5" xfId="45" xr:uid="{00000000-0005-0000-0000-000026000000}"/>
    <cellStyle name="Euro 6" xfId="46" xr:uid="{00000000-0005-0000-0000-000027000000}"/>
    <cellStyle name="Euro 7" xfId="47" xr:uid="{00000000-0005-0000-0000-000028000000}"/>
    <cellStyle name="Euro 8" xfId="48" xr:uid="{00000000-0005-0000-0000-000029000000}"/>
    <cellStyle name="Euro_allegato tabelle I report 2012" xfId="49" xr:uid="{00000000-0005-0000-0000-00002A000000}"/>
    <cellStyle name="Input 2" xfId="50" xr:uid="{00000000-0005-0000-0000-00002B000000}"/>
    <cellStyle name="Migliaia" xfId="1" builtinId="3"/>
    <cellStyle name="Migliaia (0)_% Attrezzature ed Edilizia" xfId="51" xr:uid="{00000000-0005-0000-0000-00002D000000}"/>
    <cellStyle name="Migliaia [0]" xfId="2" builtinId="6"/>
    <cellStyle name="Migliaia [0] 2" xfId="52" xr:uid="{00000000-0005-0000-0000-00002F000000}"/>
    <cellStyle name="Migliaia [0] 2 2" xfId="53" xr:uid="{00000000-0005-0000-0000-000030000000}"/>
    <cellStyle name="Migliaia [0] 3" xfId="54" xr:uid="{00000000-0005-0000-0000-000031000000}"/>
    <cellStyle name="Migliaia [0] 3 2" xfId="55" xr:uid="{00000000-0005-0000-0000-000032000000}"/>
    <cellStyle name="Migliaia [0] 4" xfId="56" xr:uid="{00000000-0005-0000-0000-000033000000}"/>
    <cellStyle name="Migliaia [0] 5" xfId="57" xr:uid="{00000000-0005-0000-0000-000034000000}"/>
    <cellStyle name="Migliaia [0] 6" xfId="58" xr:uid="{00000000-0005-0000-0000-000035000000}"/>
    <cellStyle name="Migliaia [0] 7" xfId="127" xr:uid="{00000000-0005-0000-0000-000036000000}"/>
    <cellStyle name="Migliaia [0] 8 2" xfId="59" xr:uid="{00000000-0005-0000-0000-000037000000}"/>
    <cellStyle name="Migliaia 10" xfId="126" xr:uid="{00000000-0005-0000-0000-000038000000}"/>
    <cellStyle name="Migliaia 11" xfId="60" xr:uid="{00000000-0005-0000-0000-000039000000}"/>
    <cellStyle name="Migliaia 2" xfId="61" xr:uid="{00000000-0005-0000-0000-00003A000000}"/>
    <cellStyle name="Migliaia 2 2" xfId="62" xr:uid="{00000000-0005-0000-0000-00003B000000}"/>
    <cellStyle name="Migliaia 2 3" xfId="63" xr:uid="{00000000-0005-0000-0000-00003C000000}"/>
    <cellStyle name="Migliaia 2 4" xfId="64" xr:uid="{00000000-0005-0000-0000-00003D000000}"/>
    <cellStyle name="Migliaia 2_AOTS_Organizzazione_31-12-2011" xfId="65" xr:uid="{00000000-0005-0000-0000-00003E000000}"/>
    <cellStyle name="Migliaia 3" xfId="66" xr:uid="{00000000-0005-0000-0000-00003F000000}"/>
    <cellStyle name="Migliaia 3 2" xfId="67" xr:uid="{00000000-0005-0000-0000-000040000000}"/>
    <cellStyle name="Migliaia 3_AOTS_Organizzazione_31-12-2011" xfId="68" xr:uid="{00000000-0005-0000-0000-000041000000}"/>
    <cellStyle name="Migliaia 4" xfId="69" xr:uid="{00000000-0005-0000-0000-000042000000}"/>
    <cellStyle name="Migliaia 4 2" xfId="70" xr:uid="{00000000-0005-0000-0000-000043000000}"/>
    <cellStyle name="Migliaia 5" xfId="71" xr:uid="{00000000-0005-0000-0000-000044000000}"/>
    <cellStyle name="Migliaia 6" xfId="72" xr:uid="{00000000-0005-0000-0000-000045000000}"/>
    <cellStyle name="Migliaia 6 2" xfId="119" xr:uid="{00000000-0005-0000-0000-000046000000}"/>
    <cellStyle name="Migliaia 6 2 2" xfId="129" xr:uid="{00000000-0005-0000-0000-000047000000}"/>
    <cellStyle name="Migliaia 7" xfId="73" xr:uid="{00000000-0005-0000-0000-000048000000}"/>
    <cellStyle name="Migliaia 8" xfId="74" xr:uid="{00000000-0005-0000-0000-000049000000}"/>
    <cellStyle name="Migliaia 9" xfId="116" xr:uid="{00000000-0005-0000-0000-00004A000000}"/>
    <cellStyle name="Migliaia 9 2" xfId="75" xr:uid="{00000000-0005-0000-0000-00004B000000}"/>
    <cellStyle name="Migliaia 9 3" xfId="130" xr:uid="{00000000-0005-0000-0000-00004C000000}"/>
    <cellStyle name="Migliaia_Mattone CE_Budget 2008 (v. 0.5 del 12.02.2008) 2" xfId="133" xr:uid="{00000000-0005-0000-0000-00004D000000}"/>
    <cellStyle name="Neutrale 2" xfId="76" xr:uid="{00000000-0005-0000-0000-00004E000000}"/>
    <cellStyle name="Normal 12" xfId="117" xr:uid="{00000000-0005-0000-0000-00004F000000}"/>
    <cellStyle name="Normal 2" xfId="77" xr:uid="{00000000-0005-0000-0000-000050000000}"/>
    <cellStyle name="Normal_all7_pdc" xfId="78" xr:uid="{00000000-0005-0000-0000-000051000000}"/>
    <cellStyle name="Normal_Sheet1 2" xfId="5" xr:uid="{00000000-0005-0000-0000-000052000000}"/>
    <cellStyle name="Normale" xfId="0" builtinId="0"/>
    <cellStyle name="Normale 10" xfId="121" xr:uid="{00000000-0005-0000-0000-000054000000}"/>
    <cellStyle name="Normale 11" xfId="123" xr:uid="{00000000-0005-0000-0000-000055000000}"/>
    <cellStyle name="Normale 12" xfId="125" xr:uid="{00000000-0005-0000-0000-000056000000}"/>
    <cellStyle name="Normale 19 2" xfId="124" xr:uid="{00000000-0005-0000-0000-000057000000}"/>
    <cellStyle name="Normale 2" xfId="79" xr:uid="{00000000-0005-0000-0000-000058000000}"/>
    <cellStyle name="Normale 2 2" xfId="80" xr:uid="{00000000-0005-0000-0000-000059000000}"/>
    <cellStyle name="Normale 2_1 BILANCIO AOU" xfId="81" xr:uid="{00000000-0005-0000-0000-00005A000000}"/>
    <cellStyle name="Normale 20" xfId="122" xr:uid="{00000000-0005-0000-0000-00005B000000}"/>
    <cellStyle name="Normale 3" xfId="82" xr:uid="{00000000-0005-0000-0000-00005C000000}"/>
    <cellStyle name="Normale 3 2" xfId="83" xr:uid="{00000000-0005-0000-0000-00005D000000}"/>
    <cellStyle name="Normale 3 3" xfId="84" xr:uid="{00000000-0005-0000-0000-00005E000000}"/>
    <cellStyle name="Normale 4" xfId="85" xr:uid="{00000000-0005-0000-0000-00005F000000}"/>
    <cellStyle name="Normale 5" xfId="86" xr:uid="{00000000-0005-0000-0000-000060000000}"/>
    <cellStyle name="Normale 6" xfId="87" xr:uid="{00000000-0005-0000-0000-000061000000}"/>
    <cellStyle name="Normale 6 2" xfId="88" xr:uid="{00000000-0005-0000-0000-000062000000}"/>
    <cellStyle name="Normale 7" xfId="89" xr:uid="{00000000-0005-0000-0000-000063000000}"/>
    <cellStyle name="Normale 7 2" xfId="90" xr:uid="{00000000-0005-0000-0000-000064000000}"/>
    <cellStyle name="Normale 7 3" xfId="120" xr:uid="{00000000-0005-0000-0000-000065000000}"/>
    <cellStyle name="Normale 7 3 2" xfId="132" xr:uid="{00000000-0005-0000-0000-000066000000}"/>
    <cellStyle name="Normale 7_Allegati 1-2def" xfId="91" xr:uid="{00000000-0005-0000-0000-000067000000}"/>
    <cellStyle name="Normale 8" xfId="92" xr:uid="{00000000-0005-0000-0000-000068000000}"/>
    <cellStyle name="Normale 9" xfId="93" xr:uid="{00000000-0005-0000-0000-000069000000}"/>
    <cellStyle name="Normale_All7_piano dei conti" xfId="6" xr:uid="{00000000-0005-0000-0000-00006A000000}"/>
    <cellStyle name="Normale_FLUSSI FINANZIARI" xfId="134" xr:uid="{00000000-0005-0000-0000-00006B000000}"/>
    <cellStyle name="Normale_Mattone CE_Budget 2008 (v. 0.5 del 12.02.2008) 2" xfId="4" xr:uid="{00000000-0005-0000-0000-00006C000000}"/>
    <cellStyle name="Normale_Mattone CE_Budget 2008 (v. 0.5 del 12.02.2008) 2 2" xfId="131" xr:uid="{00000000-0005-0000-0000-00006D000000}"/>
    <cellStyle name="Normale_modelloDCF2004bottoni" xfId="135" xr:uid="{00000000-0005-0000-0000-00006E000000}"/>
    <cellStyle name="Nota 2" xfId="94" xr:uid="{00000000-0005-0000-0000-00006F000000}"/>
    <cellStyle name="Output 2" xfId="95" xr:uid="{00000000-0005-0000-0000-000070000000}"/>
    <cellStyle name="Percent 2" xfId="96" xr:uid="{00000000-0005-0000-0000-000071000000}"/>
    <cellStyle name="Percent 3" xfId="97" xr:uid="{00000000-0005-0000-0000-000072000000}"/>
    <cellStyle name="Percentuale" xfId="3" builtinId="5"/>
    <cellStyle name="Percentuale 2" xfId="98" xr:uid="{00000000-0005-0000-0000-000074000000}"/>
    <cellStyle name="Percentuale 2 2" xfId="99" xr:uid="{00000000-0005-0000-0000-000075000000}"/>
    <cellStyle name="Percentuale 2 3" xfId="100" xr:uid="{00000000-0005-0000-0000-000076000000}"/>
    <cellStyle name="Percentuale 3" xfId="128" xr:uid="{00000000-0005-0000-0000-000077000000}"/>
    <cellStyle name="Percentuale 4" xfId="101" xr:uid="{00000000-0005-0000-0000-000078000000}"/>
    <cellStyle name="SAS FM Row drillable header" xfId="102" xr:uid="{00000000-0005-0000-0000-000079000000}"/>
    <cellStyle name="SAS FM Row header" xfId="103" xr:uid="{00000000-0005-0000-0000-00007A000000}"/>
    <cellStyle name="Testo avviso 2" xfId="104" xr:uid="{00000000-0005-0000-0000-00007B000000}"/>
    <cellStyle name="Testo descrittivo 2" xfId="105" xr:uid="{00000000-0005-0000-0000-00007C000000}"/>
    <cellStyle name="Titolo 1 2" xfId="106" xr:uid="{00000000-0005-0000-0000-00007D000000}"/>
    <cellStyle name="Titolo 2 2" xfId="107" xr:uid="{00000000-0005-0000-0000-00007E000000}"/>
    <cellStyle name="Titolo 3 2" xfId="108" xr:uid="{00000000-0005-0000-0000-00007F000000}"/>
    <cellStyle name="Titolo 4 2" xfId="109" xr:uid="{00000000-0005-0000-0000-000080000000}"/>
    <cellStyle name="Titolo 5" xfId="110" xr:uid="{00000000-0005-0000-0000-000081000000}"/>
    <cellStyle name="Titolo 6" xfId="118" xr:uid="{00000000-0005-0000-0000-000082000000}"/>
    <cellStyle name="Totale 2" xfId="111" xr:uid="{00000000-0005-0000-0000-000083000000}"/>
    <cellStyle name="Valore non valido 2" xfId="112" xr:uid="{00000000-0005-0000-0000-000084000000}"/>
    <cellStyle name="Valore valido 2" xfId="113" xr:uid="{00000000-0005-0000-0000-000085000000}"/>
    <cellStyle name="Valuta (0)_% Attrezzature ed Edilizia" xfId="114" xr:uid="{00000000-0005-0000-0000-000086000000}"/>
    <cellStyle name="Valuta 2" xfId="115" xr:uid="{00000000-0005-0000-0000-000087000000}"/>
  </cellStyles>
  <dxfs count="0"/>
  <tableStyles count="0" defaultTableStyle="TableStyleMedium2" defaultPivotStyle="PivotStyleLight16"/>
  <colors>
    <mruColors>
      <color rgb="FFC0C0C0"/>
      <color rgb="FF00CCFF"/>
      <color rgb="FFCCECFF"/>
      <color rgb="FF66FF33"/>
      <color rgb="FF00FFFF"/>
      <color rgb="FFFF99FF"/>
      <color rgb="FF99FF99"/>
      <color rgb="FFFFCCCC"/>
      <color rgb="FFFF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0"/>
  <sheetViews>
    <sheetView showGridLines="0" topLeftCell="A85" zoomScaleNormal="100" workbookViewId="0">
      <selection activeCell="I101" sqref="I101"/>
    </sheetView>
  </sheetViews>
  <sheetFormatPr defaultRowHeight="12.75"/>
  <cols>
    <col min="2" max="2" width="5.5703125" customWidth="1"/>
    <col min="3" max="3" width="48.5703125" customWidth="1"/>
    <col min="4" max="6" width="18.42578125" style="952" customWidth="1"/>
    <col min="7" max="8" width="18.42578125" customWidth="1"/>
    <col min="9" max="9" width="18.42578125" style="322" customWidth="1"/>
    <col min="10" max="10" width="9.42578125" customWidth="1"/>
  </cols>
  <sheetData>
    <row r="1" spans="1:12" s="374" customFormat="1" ht="15.75">
      <c r="A1" s="1"/>
      <c r="B1" s="1"/>
      <c r="C1" s="2"/>
      <c r="D1" s="916"/>
      <c r="E1" s="916"/>
      <c r="F1" s="916"/>
      <c r="G1" s="371"/>
      <c r="H1" s="372"/>
      <c r="I1" s="192"/>
      <c r="J1" s="373"/>
      <c r="K1" s="373"/>
      <c r="L1" s="373"/>
    </row>
    <row r="2" spans="1:12" s="374" customFormat="1" ht="20.25">
      <c r="A2" s="416" t="s">
        <v>3518</v>
      </c>
      <c r="B2" s="415"/>
      <c r="C2" s="415"/>
      <c r="D2" s="917"/>
      <c r="E2" s="918"/>
      <c r="F2" s="917" t="s">
        <v>0</v>
      </c>
      <c r="G2" s="417"/>
      <c r="H2" s="414"/>
      <c r="K2" s="3"/>
      <c r="L2" s="3"/>
    </row>
    <row r="3" spans="1:12" ht="13.5" thickBot="1">
      <c r="A3" s="4"/>
      <c r="B3" s="4"/>
      <c r="C3" s="5"/>
      <c r="D3" s="919"/>
      <c r="E3" s="919"/>
      <c r="F3" s="919"/>
      <c r="G3" s="193"/>
      <c r="H3" s="193"/>
      <c r="I3" s="194"/>
      <c r="J3" s="6"/>
    </row>
    <row r="4" spans="1:12" ht="33" customHeight="1">
      <c r="A4" s="978" t="s">
        <v>2104</v>
      </c>
      <c r="B4" s="979"/>
      <c r="C4" s="980"/>
      <c r="D4" s="983" t="s">
        <v>4867</v>
      </c>
      <c r="E4" s="985" t="s">
        <v>3522</v>
      </c>
      <c r="F4" s="981" t="s">
        <v>4868</v>
      </c>
      <c r="G4" s="982"/>
      <c r="I4"/>
    </row>
    <row r="5" spans="1:12">
      <c r="A5" s="225"/>
      <c r="B5" s="226"/>
      <c r="C5" s="226"/>
      <c r="D5" s="984"/>
      <c r="E5" s="986"/>
      <c r="F5" s="920" t="s">
        <v>1</v>
      </c>
      <c r="G5" s="370" t="s">
        <v>2</v>
      </c>
      <c r="I5"/>
    </row>
    <row r="6" spans="1:12">
      <c r="A6" s="7"/>
      <c r="B6" s="8"/>
      <c r="C6" s="9"/>
      <c r="D6" s="921"/>
      <c r="E6" s="921"/>
      <c r="F6" s="922"/>
      <c r="G6" s="181"/>
      <c r="I6"/>
    </row>
    <row r="7" spans="1:12">
      <c r="A7" s="10" t="s">
        <v>3</v>
      </c>
      <c r="B7" s="4"/>
      <c r="C7" s="11" t="s">
        <v>4</v>
      </c>
      <c r="D7" s="923"/>
      <c r="E7" s="923"/>
      <c r="F7" s="924"/>
      <c r="G7" s="182"/>
      <c r="I7"/>
    </row>
    <row r="8" spans="1:12">
      <c r="A8" s="10"/>
      <c r="B8" s="4"/>
      <c r="C8" s="12"/>
      <c r="D8" s="925"/>
      <c r="E8" s="925"/>
      <c r="F8" s="924"/>
      <c r="G8" s="182"/>
      <c r="I8"/>
    </row>
    <row r="9" spans="1:12">
      <c r="A9" s="10">
        <v>1</v>
      </c>
      <c r="B9" s="11" t="s">
        <v>5</v>
      </c>
      <c r="C9" s="11"/>
      <c r="D9" s="926">
        <f t="shared" ref="D9" si="0">D10+D11+D18+D23</f>
        <v>52156319</v>
      </c>
      <c r="E9" s="926">
        <f t="shared" ref="E9" si="1">E10+E11+E18+E23</f>
        <v>48431363</v>
      </c>
      <c r="F9" s="927">
        <f>+D9-E9</f>
        <v>3724956</v>
      </c>
      <c r="G9" s="318">
        <f>+F9/E9</f>
        <v>7.6912062128005776E-2</v>
      </c>
      <c r="I9"/>
    </row>
    <row r="10" spans="1:12">
      <c r="A10" s="13"/>
      <c r="B10" s="14" t="s">
        <v>6</v>
      </c>
      <c r="C10" s="14"/>
      <c r="D10" s="928">
        <f>+ROUND('CE Min'!D27,0)</f>
        <v>33066514</v>
      </c>
      <c r="E10" s="928">
        <f>+ROUND('CE Min'!E27,0)</f>
        <v>30400396</v>
      </c>
      <c r="F10" s="929">
        <f t="shared" ref="F10:F73" si="2">+D10-E10</f>
        <v>2666118</v>
      </c>
      <c r="G10" s="419">
        <f t="shared" ref="G10:G71" si="3">+F10/E10</f>
        <v>8.7700107590703749E-2</v>
      </c>
      <c r="I10"/>
    </row>
    <row r="11" spans="1:12">
      <c r="A11" s="10"/>
      <c r="B11" s="14" t="s">
        <v>7</v>
      </c>
      <c r="C11" s="14"/>
      <c r="D11" s="928">
        <f t="shared" ref="D11" si="4">SUM(D12:D17)</f>
        <v>2556063</v>
      </c>
      <c r="E11" s="928">
        <f t="shared" ref="E11" si="5">SUM(E12:E17)</f>
        <v>2040496</v>
      </c>
      <c r="F11" s="929">
        <f t="shared" si="2"/>
        <v>515567</v>
      </c>
      <c r="G11" s="419">
        <f t="shared" si="3"/>
        <v>0.25266748868902461</v>
      </c>
      <c r="I11"/>
    </row>
    <row r="12" spans="1:12">
      <c r="A12" s="10"/>
      <c r="B12" s="15"/>
      <c r="C12" s="58" t="s">
        <v>8</v>
      </c>
      <c r="D12" s="928">
        <f>+ROUND('CE Min'!D38,0)</f>
        <v>609099</v>
      </c>
      <c r="E12" s="928">
        <f>+ROUND('CE Min'!E38,0)</f>
        <v>265585</v>
      </c>
      <c r="F12" s="930">
        <f t="shared" si="2"/>
        <v>343514</v>
      </c>
      <c r="G12" s="419">
        <f t="shared" si="3"/>
        <v>1.2934239509008416</v>
      </c>
      <c r="I12"/>
    </row>
    <row r="13" spans="1:12" ht="22.5">
      <c r="A13" s="13"/>
      <c r="B13" s="15"/>
      <c r="C13" s="58" t="s">
        <v>9</v>
      </c>
      <c r="D13" s="928">
        <f>+ROUND('CE Min'!D39,0)</f>
        <v>0</v>
      </c>
      <c r="E13" s="928">
        <f>+ROUND('CE Min'!E39,0)</f>
        <v>0</v>
      </c>
      <c r="F13" s="930">
        <f t="shared" si="2"/>
        <v>0</v>
      </c>
      <c r="G13" s="419"/>
      <c r="I13"/>
    </row>
    <row r="14" spans="1:12" ht="22.5">
      <c r="A14" s="10"/>
      <c r="B14" s="15"/>
      <c r="C14" s="58" t="s">
        <v>10</v>
      </c>
      <c r="D14" s="928">
        <f>+ROUND('CE Min'!D40,0)</f>
        <v>171666</v>
      </c>
      <c r="E14" s="928">
        <f>+ROUND('CE Min'!E40,0)</f>
        <v>430750</v>
      </c>
      <c r="F14" s="930">
        <f t="shared" si="2"/>
        <v>-259084</v>
      </c>
      <c r="G14" s="419">
        <f t="shared" si="3"/>
        <v>-0.60147185142193849</v>
      </c>
      <c r="I14"/>
    </row>
    <row r="15" spans="1:12">
      <c r="A15" s="13"/>
      <c r="B15" s="15"/>
      <c r="C15" s="58" t="s">
        <v>11</v>
      </c>
      <c r="D15" s="928">
        <f>+ROUND('CE Min'!D41,0)</f>
        <v>359897</v>
      </c>
      <c r="E15" s="928">
        <f>+ROUND('CE Min'!E41,0)</f>
        <v>0</v>
      </c>
      <c r="F15" s="930">
        <f t="shared" si="2"/>
        <v>359897</v>
      </c>
      <c r="G15" s="419"/>
      <c r="I15"/>
    </row>
    <row r="16" spans="1:12">
      <c r="A16" s="13"/>
      <c r="B16" s="15"/>
      <c r="C16" s="58" t="s">
        <v>12</v>
      </c>
      <c r="D16" s="928">
        <f>+ROUND('CE Min'!D42,0)</f>
        <v>516709</v>
      </c>
      <c r="E16" s="928">
        <f>+ROUND('CE Min'!E42,0)</f>
        <v>0</v>
      </c>
      <c r="F16" s="930">
        <f t="shared" si="2"/>
        <v>516709</v>
      </c>
      <c r="G16" s="419">
        <v>1</v>
      </c>
      <c r="I16"/>
    </row>
    <row r="17" spans="1:9">
      <c r="A17" s="10"/>
      <c r="B17" s="15"/>
      <c r="C17" s="58" t="s">
        <v>13</v>
      </c>
      <c r="D17" s="928">
        <f>+ROUND('CE Min'!D45,0)</f>
        <v>898692</v>
      </c>
      <c r="E17" s="928">
        <f>+ROUND('CE Min'!E45,0)</f>
        <v>1344161</v>
      </c>
      <c r="F17" s="930">
        <f t="shared" si="2"/>
        <v>-445469</v>
      </c>
      <c r="G17" s="419">
        <f t="shared" si="3"/>
        <v>-0.33141044859953533</v>
      </c>
      <c r="I17"/>
    </row>
    <row r="18" spans="1:9">
      <c r="A18" s="13"/>
      <c r="B18" s="15" t="s">
        <v>14</v>
      </c>
      <c r="C18" s="14"/>
      <c r="D18" s="928">
        <f t="shared" ref="D18" si="6">SUM(D19:D22)</f>
        <v>16479366</v>
      </c>
      <c r="E18" s="928">
        <f t="shared" ref="E18" si="7">SUM(E19:E22)</f>
        <v>15888378</v>
      </c>
      <c r="F18" s="929">
        <f t="shared" si="2"/>
        <v>590988</v>
      </c>
      <c r="G18" s="419">
        <f t="shared" si="3"/>
        <v>3.7196244953386685E-2</v>
      </c>
      <c r="I18"/>
    </row>
    <row r="19" spans="1:9">
      <c r="A19" s="13"/>
      <c r="B19" s="15"/>
      <c r="C19" s="14" t="s">
        <v>15</v>
      </c>
      <c r="D19" s="928">
        <f>+ROUND('CE Min'!D52,0)</f>
        <v>2755278</v>
      </c>
      <c r="E19" s="928">
        <f>+ROUND('CE Min'!E52,0)</f>
        <v>3546082</v>
      </c>
      <c r="F19" s="930">
        <f t="shared" si="2"/>
        <v>-790804</v>
      </c>
      <c r="G19" s="419"/>
      <c r="I19"/>
    </row>
    <row r="20" spans="1:9">
      <c r="A20" s="13"/>
      <c r="B20" s="15"/>
      <c r="C20" s="14" t="s">
        <v>16</v>
      </c>
      <c r="D20" s="928">
        <f>+ROUND('CE Min'!D53,0)</f>
        <v>2380394</v>
      </c>
      <c r="E20" s="928">
        <f>+ROUND('CE Min'!E53,0)</f>
        <v>1573674</v>
      </c>
      <c r="F20" s="930">
        <f t="shared" si="2"/>
        <v>806720</v>
      </c>
      <c r="G20" s="419"/>
      <c r="I20"/>
    </row>
    <row r="21" spans="1:9">
      <c r="A21" s="13"/>
      <c r="B21" s="15"/>
      <c r="C21" s="14" t="s">
        <v>17</v>
      </c>
      <c r="D21" s="928">
        <f>+ROUND('CE Min'!D54,0)</f>
        <v>9316000</v>
      </c>
      <c r="E21" s="928">
        <f>+ROUND('CE Min'!E54,0)</f>
        <v>9343898</v>
      </c>
      <c r="F21" s="930">
        <f t="shared" si="2"/>
        <v>-27898</v>
      </c>
      <c r="G21" s="419">
        <f t="shared" si="3"/>
        <v>-2.9856918386737528E-3</v>
      </c>
      <c r="I21"/>
    </row>
    <row r="22" spans="1:9">
      <c r="A22" s="13"/>
      <c r="B22" s="15"/>
      <c r="C22" s="14" t="s">
        <v>18</v>
      </c>
      <c r="D22" s="928">
        <f>+ROUND('CE Min'!D55,0)</f>
        <v>2027694</v>
      </c>
      <c r="E22" s="928">
        <f>+ROUND('CE Min'!E55,0)</f>
        <v>1424724</v>
      </c>
      <c r="F22" s="930">
        <f t="shared" si="2"/>
        <v>602970</v>
      </c>
      <c r="G22" s="419">
        <f t="shared" si="3"/>
        <v>0.42321881290692093</v>
      </c>
      <c r="I22"/>
    </row>
    <row r="23" spans="1:9">
      <c r="A23" s="13"/>
      <c r="B23" s="15" t="s">
        <v>19</v>
      </c>
      <c r="C23" s="14"/>
      <c r="D23" s="928">
        <f>+ROUND('CE Min'!D56,0)</f>
        <v>54376</v>
      </c>
      <c r="E23" s="928">
        <f>+ROUND('CE Min'!E56,0)</f>
        <v>102093</v>
      </c>
      <c r="F23" s="930">
        <f t="shared" si="2"/>
        <v>-47717</v>
      </c>
      <c r="G23" s="419">
        <f t="shared" si="3"/>
        <v>-0.4673875779926146</v>
      </c>
      <c r="I23"/>
    </row>
    <row r="24" spans="1:9">
      <c r="A24" s="10">
        <v>2</v>
      </c>
      <c r="B24" s="11" t="s">
        <v>20</v>
      </c>
      <c r="C24" s="11"/>
      <c r="D24" s="931">
        <f>+ROUND('CE Min'!D57,0)</f>
        <v>-95538</v>
      </c>
      <c r="E24" s="931">
        <f>+ROUND('CE Min'!E57,0)</f>
        <v>-130953</v>
      </c>
      <c r="F24" s="932">
        <f t="shared" si="2"/>
        <v>35415</v>
      </c>
      <c r="G24" s="318"/>
      <c r="I24"/>
    </row>
    <row r="25" spans="1:9">
      <c r="A25" s="10">
        <v>3</v>
      </c>
      <c r="B25" s="11" t="s">
        <v>21</v>
      </c>
      <c r="C25" s="11"/>
      <c r="D25" s="931">
        <f>+ROUND('CE Min'!D60,0)</f>
        <v>8705744</v>
      </c>
      <c r="E25" s="931">
        <f>+ROUND('CE Min'!E60,0)</f>
        <v>7940906</v>
      </c>
      <c r="F25" s="932">
        <f t="shared" si="2"/>
        <v>764838</v>
      </c>
      <c r="G25" s="318">
        <f t="shared" si="3"/>
        <v>9.6316213792229752E-2</v>
      </c>
      <c r="I25"/>
    </row>
    <row r="26" spans="1:9">
      <c r="A26" s="10">
        <v>4</v>
      </c>
      <c r="B26" s="11" t="s">
        <v>22</v>
      </c>
      <c r="C26" s="11"/>
      <c r="D26" s="926">
        <f t="shared" ref="D26" si="8">SUM(D27:D29)</f>
        <v>36588691</v>
      </c>
      <c r="E26" s="926">
        <f t="shared" ref="E26" si="9">SUM(E27:E29)</f>
        <v>35587677</v>
      </c>
      <c r="F26" s="932">
        <f t="shared" si="2"/>
        <v>1001014</v>
      </c>
      <c r="G26" s="318">
        <f t="shared" si="3"/>
        <v>2.8128107378292772E-2</v>
      </c>
      <c r="I26"/>
    </row>
    <row r="27" spans="1:9">
      <c r="A27" s="10"/>
      <c r="B27" s="14" t="s">
        <v>23</v>
      </c>
      <c r="C27" s="16"/>
      <c r="D27" s="928">
        <f>+ROUND('CE Min'!D67,0)</f>
        <v>34235623</v>
      </c>
      <c r="E27" s="928">
        <f>+ROUND('CE Min'!E67,0)</f>
        <v>33423678</v>
      </c>
      <c r="F27" s="930">
        <f t="shared" si="2"/>
        <v>811945</v>
      </c>
      <c r="G27" s="419">
        <f t="shared" si="3"/>
        <v>2.4292509041045691E-2</v>
      </c>
      <c r="I27"/>
    </row>
    <row r="28" spans="1:9">
      <c r="A28" s="13"/>
      <c r="B28" s="14" t="s">
        <v>24</v>
      </c>
      <c r="C28" s="16"/>
      <c r="D28" s="928">
        <f>+ROUND('CE Min'!D113,0)</f>
        <v>1275930</v>
      </c>
      <c r="E28" s="928">
        <f>+ROUND('CE Min'!E113,0)</f>
        <v>1217365</v>
      </c>
      <c r="F28" s="930">
        <f t="shared" si="2"/>
        <v>58565</v>
      </c>
      <c r="G28" s="419">
        <f t="shared" si="3"/>
        <v>4.8108003762224148E-2</v>
      </c>
      <c r="I28"/>
    </row>
    <row r="29" spans="1:9">
      <c r="A29" s="10"/>
      <c r="B29" s="14" t="s">
        <v>25</v>
      </c>
      <c r="C29" s="16"/>
      <c r="D29" s="928">
        <f>+ROUND('CE Min'!D106+'CE Min'!D112,0)</f>
        <v>1077138</v>
      </c>
      <c r="E29" s="928">
        <f>+ROUND('CE Min'!E106+'CE Min'!E112,0)</f>
        <v>946634</v>
      </c>
      <c r="F29" s="930">
        <f t="shared" si="2"/>
        <v>130504</v>
      </c>
      <c r="G29" s="419">
        <f t="shared" si="3"/>
        <v>0.13786109520680642</v>
      </c>
      <c r="I29"/>
    </row>
    <row r="30" spans="1:9">
      <c r="A30" s="10">
        <v>5</v>
      </c>
      <c r="B30" s="11" t="s">
        <v>26</v>
      </c>
      <c r="C30" s="11"/>
      <c r="D30" s="931">
        <f>+ROUND(+'CE Min'!D121,0)</f>
        <v>2171327</v>
      </c>
      <c r="E30" s="931">
        <f>+ROUND(+'CE Min'!E121,0)-1</f>
        <v>892431</v>
      </c>
      <c r="F30" s="932">
        <f t="shared" si="2"/>
        <v>1278896</v>
      </c>
      <c r="G30" s="318">
        <f t="shared" si="3"/>
        <v>1.4330474849035948</v>
      </c>
      <c r="I30"/>
    </row>
    <row r="31" spans="1:9">
      <c r="A31" s="10">
        <v>6</v>
      </c>
      <c r="B31" s="11" t="s">
        <v>27</v>
      </c>
      <c r="C31" s="11"/>
      <c r="D31" s="931">
        <f>+ROUND('CE Min'!D142,0)</f>
        <v>1874059</v>
      </c>
      <c r="E31" s="931">
        <f>+ROUND('CE Min'!E142,0)</f>
        <v>1808258</v>
      </c>
      <c r="F31" s="932">
        <f t="shared" si="2"/>
        <v>65801</v>
      </c>
      <c r="G31" s="318">
        <f t="shared" si="3"/>
        <v>3.6389165705336297E-2</v>
      </c>
      <c r="I31"/>
    </row>
    <row r="32" spans="1:9">
      <c r="A32" s="10">
        <v>7</v>
      </c>
      <c r="B32" s="11" t="s">
        <v>28</v>
      </c>
      <c r="C32" s="11"/>
      <c r="D32" s="931">
        <f>+ROUND('CE Min'!D146,0)</f>
        <v>3581393</v>
      </c>
      <c r="E32" s="931">
        <f>+ROUND('CE Min'!E146,0)</f>
        <v>3507991</v>
      </c>
      <c r="F32" s="932">
        <f t="shared" si="2"/>
        <v>73402</v>
      </c>
      <c r="G32" s="318">
        <f t="shared" si="3"/>
        <v>2.0924227000582385E-2</v>
      </c>
      <c r="I32"/>
    </row>
    <row r="33" spans="1:9">
      <c r="A33" s="10">
        <v>8</v>
      </c>
      <c r="B33" s="11" t="s">
        <v>29</v>
      </c>
      <c r="C33" s="11"/>
      <c r="D33" s="931">
        <f>+ROUND(+'CE Min'!D153,0)</f>
        <v>24121</v>
      </c>
      <c r="E33" s="931">
        <f>+ROUND(+'CE Min'!E153,0)</f>
        <v>27540</v>
      </c>
      <c r="F33" s="932">
        <f t="shared" si="2"/>
        <v>-3419</v>
      </c>
      <c r="G33" s="318"/>
      <c r="I33"/>
    </row>
    <row r="34" spans="1:9">
      <c r="A34" s="10">
        <v>9</v>
      </c>
      <c r="B34" s="11" t="s">
        <v>30</v>
      </c>
      <c r="C34" s="11"/>
      <c r="D34" s="931">
        <f>+ROUND(+'CE Min'!D154,0)</f>
        <v>108450</v>
      </c>
      <c r="E34" s="931">
        <f>+ROUND(+'CE Min'!E154,0)</f>
        <v>122631</v>
      </c>
      <c r="F34" s="932">
        <f t="shared" si="2"/>
        <v>-14181</v>
      </c>
      <c r="G34" s="318">
        <f t="shared" si="3"/>
        <v>-0.11563960173202534</v>
      </c>
      <c r="I34"/>
    </row>
    <row r="35" spans="1:9">
      <c r="A35" s="227" t="s">
        <v>31</v>
      </c>
      <c r="B35" s="228"/>
      <c r="C35" s="228"/>
      <c r="D35" s="933">
        <f t="shared" ref="D35" si="10">D9+D24+D25+D26+SUM(D30:D34)</f>
        <v>105114566</v>
      </c>
      <c r="E35" s="933">
        <f t="shared" ref="E35" si="11">E9+E24+E25+E26+SUM(E30:E34)</f>
        <v>98187844</v>
      </c>
      <c r="F35" s="934">
        <f t="shared" si="2"/>
        <v>6926722</v>
      </c>
      <c r="G35" s="172">
        <f t="shared" si="3"/>
        <v>7.0545616624395985E-2</v>
      </c>
      <c r="I35"/>
    </row>
    <row r="36" spans="1:9">
      <c r="A36" s="13"/>
      <c r="B36" s="17"/>
      <c r="C36" s="12"/>
      <c r="D36" s="935"/>
      <c r="E36" s="935"/>
      <c r="F36" s="930"/>
      <c r="G36" s="183"/>
      <c r="I36"/>
    </row>
    <row r="37" spans="1:9">
      <c r="A37" s="10" t="s">
        <v>32</v>
      </c>
      <c r="B37" s="4"/>
      <c r="C37" s="18" t="s">
        <v>33</v>
      </c>
      <c r="D37" s="936"/>
      <c r="E37" s="936"/>
      <c r="F37" s="932"/>
      <c r="G37" s="184"/>
      <c r="I37"/>
    </row>
    <row r="38" spans="1:9">
      <c r="A38" s="10">
        <v>1</v>
      </c>
      <c r="B38" s="11" t="s">
        <v>34</v>
      </c>
      <c r="C38" s="19"/>
      <c r="D38" s="936">
        <f t="shared" ref="D38" si="12">SUM(D39:D40)</f>
        <v>13045667</v>
      </c>
      <c r="E38" s="936">
        <f t="shared" ref="E38" si="13">SUM(E39:E40)</f>
        <v>12973371</v>
      </c>
      <c r="F38" s="932">
        <f t="shared" si="2"/>
        <v>72296</v>
      </c>
      <c r="G38" s="184">
        <f t="shared" si="3"/>
        <v>5.5726456909310617E-3</v>
      </c>
      <c r="I38"/>
    </row>
    <row r="39" spans="1:9">
      <c r="A39" s="10"/>
      <c r="B39" s="14" t="s">
        <v>35</v>
      </c>
      <c r="C39" s="16"/>
      <c r="D39" s="928">
        <f>+ROUND('CE Min'!D161,0)</f>
        <v>12629671</v>
      </c>
      <c r="E39" s="928">
        <f>+ROUND('CE Min'!E161,0)</f>
        <v>12480843</v>
      </c>
      <c r="F39" s="930">
        <f t="shared" si="2"/>
        <v>148828</v>
      </c>
      <c r="G39" s="183">
        <f t="shared" si="3"/>
        <v>1.1924515034761675E-2</v>
      </c>
      <c r="I39"/>
    </row>
    <row r="40" spans="1:9">
      <c r="A40" s="13"/>
      <c r="B40" s="14" t="s">
        <v>36</v>
      </c>
      <c r="C40" s="16"/>
      <c r="D40" s="928">
        <f>+ROUND('CE Min'!D191,0)</f>
        <v>415996</v>
      </c>
      <c r="E40" s="928">
        <f>+ROUND('CE Min'!E191,0)</f>
        <v>492528</v>
      </c>
      <c r="F40" s="930">
        <f t="shared" si="2"/>
        <v>-76532</v>
      </c>
      <c r="G40" s="183">
        <f t="shared" si="3"/>
        <v>-0.15538608972484813</v>
      </c>
      <c r="I40"/>
    </row>
    <row r="41" spans="1:9">
      <c r="A41" s="10">
        <v>2</v>
      </c>
      <c r="B41" s="11" t="s">
        <v>37</v>
      </c>
      <c r="C41" s="19"/>
      <c r="D41" s="936">
        <f t="shared" ref="D41" si="14">SUM(D42:D58)</f>
        <v>9296615</v>
      </c>
      <c r="E41" s="936">
        <f t="shared" ref="E41" si="15">SUM(E42:E58)</f>
        <v>8171986</v>
      </c>
      <c r="F41" s="932">
        <f t="shared" si="2"/>
        <v>1124629</v>
      </c>
      <c r="G41" s="183">
        <f t="shared" si="3"/>
        <v>0.13762003508082368</v>
      </c>
      <c r="I41"/>
    </row>
    <row r="42" spans="1:9">
      <c r="A42" s="13"/>
      <c r="B42" s="15" t="s">
        <v>38</v>
      </c>
      <c r="C42" s="14"/>
      <c r="D42" s="928">
        <f>+ROUND('CE Min'!D201,0)</f>
        <v>0</v>
      </c>
      <c r="E42" s="928">
        <f>+ROUND('CE Min'!E201,0)</f>
        <v>0</v>
      </c>
      <c r="F42" s="930">
        <f t="shared" si="2"/>
        <v>0</v>
      </c>
      <c r="G42" s="183"/>
      <c r="I42"/>
    </row>
    <row r="43" spans="1:9">
      <c r="A43" s="13"/>
      <c r="B43" s="15" t="s">
        <v>39</v>
      </c>
      <c r="C43" s="14"/>
      <c r="D43" s="928">
        <f>+ROUND('CE Min'!D209,0)</f>
        <v>0</v>
      </c>
      <c r="E43" s="928">
        <f>+ROUND('CE Min'!E209,0)</f>
        <v>0</v>
      </c>
      <c r="F43" s="930">
        <f t="shared" si="2"/>
        <v>0</v>
      </c>
      <c r="G43" s="183"/>
      <c r="I43"/>
    </row>
    <row r="44" spans="1:9">
      <c r="A44" s="13"/>
      <c r="B44" s="15" t="s">
        <v>40</v>
      </c>
      <c r="C44" s="14"/>
      <c r="D44" s="928">
        <f>+ROUND('CE Min'!D213,0)</f>
        <v>571493</v>
      </c>
      <c r="E44" s="928">
        <f>+ROUND('CE Min'!E213,0)</f>
        <v>419860</v>
      </c>
      <c r="F44" s="930">
        <f t="shared" si="2"/>
        <v>151633</v>
      </c>
      <c r="G44" s="183">
        <f t="shared" si="3"/>
        <v>0.36115133615967226</v>
      </c>
      <c r="I44"/>
    </row>
    <row r="45" spans="1:9">
      <c r="A45" s="13"/>
      <c r="B45" s="15" t="s">
        <v>41</v>
      </c>
      <c r="C45" s="14"/>
      <c r="D45" s="928">
        <f>+ROUND('CE Min'!D232,0)</f>
        <v>0</v>
      </c>
      <c r="E45" s="928">
        <f>+ROUND('CE Min'!E232,0)</f>
        <v>0</v>
      </c>
      <c r="F45" s="930">
        <f t="shared" si="2"/>
        <v>0</v>
      </c>
      <c r="G45" s="183"/>
      <c r="I45"/>
    </row>
    <row r="46" spans="1:9">
      <c r="A46" s="13"/>
      <c r="B46" s="15" t="s">
        <v>42</v>
      </c>
      <c r="C46" s="14"/>
      <c r="D46" s="928">
        <f>+ROUND('CE Min'!D238,0)</f>
        <v>0</v>
      </c>
      <c r="E46" s="928">
        <f>+ROUND('CE Min'!E238,0)</f>
        <v>0</v>
      </c>
      <c r="F46" s="930">
        <f t="shared" si="2"/>
        <v>0</v>
      </c>
      <c r="G46" s="183"/>
      <c r="I46"/>
    </row>
    <row r="47" spans="1:9">
      <c r="A47" s="13"/>
      <c r="B47" s="15" t="s">
        <v>43</v>
      </c>
      <c r="C47" s="14"/>
      <c r="D47" s="928">
        <f>+ROUND('CE Min'!D243,0)</f>
        <v>0</v>
      </c>
      <c r="E47" s="928">
        <f>+ROUND('CE Min'!E243,0)</f>
        <v>0</v>
      </c>
      <c r="F47" s="930">
        <f t="shared" si="2"/>
        <v>0</v>
      </c>
      <c r="G47" s="183"/>
      <c r="I47"/>
    </row>
    <row r="48" spans="1:9">
      <c r="A48" s="13"/>
      <c r="B48" s="15" t="s">
        <v>44</v>
      </c>
      <c r="C48" s="14"/>
      <c r="D48" s="928">
        <f>+ROUND('CE Min'!D248,0)</f>
        <v>0</v>
      </c>
      <c r="E48" s="928">
        <f>+ROUND('CE Min'!E248,0)</f>
        <v>0</v>
      </c>
      <c r="F48" s="930">
        <f t="shared" si="2"/>
        <v>0</v>
      </c>
      <c r="G48" s="183"/>
      <c r="I48"/>
    </row>
    <row r="49" spans="1:9">
      <c r="A49" s="13"/>
      <c r="B49" s="15" t="s">
        <v>45</v>
      </c>
      <c r="C49" s="14"/>
      <c r="D49" s="928">
        <f>+ROUND('CE Min'!D258,0)</f>
        <v>0</v>
      </c>
      <c r="E49" s="928">
        <f>+ROUND('CE Min'!E258,0)</f>
        <v>0</v>
      </c>
      <c r="F49" s="930">
        <f t="shared" si="2"/>
        <v>0</v>
      </c>
      <c r="G49" s="183"/>
      <c r="I49"/>
    </row>
    <row r="50" spans="1:9">
      <c r="A50" s="13"/>
      <c r="B50" s="15" t="s">
        <v>46</v>
      </c>
      <c r="C50" s="14"/>
      <c r="D50" s="928">
        <f>+ROUND('CE Min'!D264,0)</f>
        <v>0</v>
      </c>
      <c r="E50" s="928">
        <f>+ROUND('CE Min'!E264,0)</f>
        <v>0</v>
      </c>
      <c r="F50" s="930">
        <f t="shared" si="2"/>
        <v>0</v>
      </c>
      <c r="G50" s="183"/>
      <c r="I50"/>
    </row>
    <row r="51" spans="1:9">
      <c r="A51" s="13"/>
      <c r="B51" s="15" t="s">
        <v>47</v>
      </c>
      <c r="C51" s="14"/>
      <c r="D51" s="928">
        <f>+ROUND('CE Min'!D271,0)</f>
        <v>0</v>
      </c>
      <c r="E51" s="928">
        <f>+ROUND('CE Min'!E271,0)</f>
        <v>0</v>
      </c>
      <c r="F51" s="930">
        <f t="shared" si="2"/>
        <v>0</v>
      </c>
      <c r="G51" s="183"/>
      <c r="I51"/>
    </row>
    <row r="52" spans="1:9">
      <c r="A52" s="13"/>
      <c r="B52" s="15" t="s">
        <v>48</v>
      </c>
      <c r="C52" s="14"/>
      <c r="D52" s="928">
        <f>+ROUND('CE Min'!D277,0)</f>
        <v>110165</v>
      </c>
      <c r="E52" s="928">
        <f>+ROUND('CE Min'!E277,0)+1</f>
        <v>104861</v>
      </c>
      <c r="F52" s="930">
        <f t="shared" si="2"/>
        <v>5304</v>
      </c>
      <c r="G52" s="183">
        <f t="shared" si="3"/>
        <v>5.0581245649002009E-2</v>
      </c>
      <c r="I52"/>
    </row>
    <row r="53" spans="1:9">
      <c r="A53" s="13"/>
      <c r="B53" s="15" t="s">
        <v>49</v>
      </c>
      <c r="C53" s="14"/>
      <c r="D53" s="928">
        <f>+ROUND('CE Min'!D282,0)</f>
        <v>755563</v>
      </c>
      <c r="E53" s="928">
        <f>+ROUND('CE Min'!E282,0)</f>
        <v>500179</v>
      </c>
      <c r="F53" s="930">
        <f t="shared" si="2"/>
        <v>255384</v>
      </c>
      <c r="G53" s="183">
        <f t="shared" si="3"/>
        <v>0.51058521049464289</v>
      </c>
      <c r="I53"/>
    </row>
    <row r="54" spans="1:9">
      <c r="A54" s="13"/>
      <c r="B54" s="15" t="s">
        <v>50</v>
      </c>
      <c r="C54" s="14"/>
      <c r="D54" s="928">
        <f>+ROUND('CE Min'!D291,0)</f>
        <v>1011881</v>
      </c>
      <c r="E54" s="928">
        <f>+ROUND('CE Min'!E291,0)</f>
        <v>964672</v>
      </c>
      <c r="F54" s="930">
        <f t="shared" si="2"/>
        <v>47209</v>
      </c>
      <c r="G54" s="183">
        <f t="shared" si="3"/>
        <v>4.8937877330325751E-2</v>
      </c>
      <c r="I54"/>
    </row>
    <row r="55" spans="1:9">
      <c r="A55" s="13"/>
      <c r="B55" s="15" t="s">
        <v>51</v>
      </c>
      <c r="C55" s="14"/>
      <c r="D55" s="928">
        <f>+ROUND('CE Min'!D299,0)</f>
        <v>2775746</v>
      </c>
      <c r="E55" s="928">
        <f>+ROUND('CE Min'!E299,0)</f>
        <v>2378140</v>
      </c>
      <c r="F55" s="930">
        <f t="shared" si="2"/>
        <v>397606</v>
      </c>
      <c r="G55" s="183">
        <f t="shared" si="3"/>
        <v>0.16719200719890334</v>
      </c>
      <c r="I55"/>
    </row>
    <row r="56" spans="1:9">
      <c r="A56" s="13"/>
      <c r="B56" s="15" t="s">
        <v>52</v>
      </c>
      <c r="C56" s="58"/>
      <c r="D56" s="928">
        <f>+ROUND('CE Min'!D307,0)</f>
        <v>3486532</v>
      </c>
      <c r="E56" s="928">
        <f>+ROUND('CE Min'!E307,0)</f>
        <v>3092473</v>
      </c>
      <c r="F56" s="930">
        <f t="shared" si="2"/>
        <v>394059</v>
      </c>
      <c r="G56" s="183">
        <f t="shared" si="3"/>
        <v>0.12742520306563712</v>
      </c>
      <c r="I56"/>
    </row>
    <row r="57" spans="1:9">
      <c r="A57" s="13"/>
      <c r="B57" s="15" t="s">
        <v>53</v>
      </c>
      <c r="C57" s="14"/>
      <c r="D57" s="928">
        <f>+ROUND('CE Min'!D321,0)</f>
        <v>585235</v>
      </c>
      <c r="E57" s="928">
        <f>+ROUND('CE Min'!E321,0)</f>
        <v>711801</v>
      </c>
      <c r="F57" s="930">
        <f t="shared" si="2"/>
        <v>-126566</v>
      </c>
      <c r="G57" s="183">
        <f t="shared" si="3"/>
        <v>-0.17781093311192314</v>
      </c>
      <c r="I57"/>
    </row>
    <row r="58" spans="1:9">
      <c r="A58" s="13"/>
      <c r="B58" s="15" t="s">
        <v>54</v>
      </c>
      <c r="C58" s="14"/>
      <c r="D58" s="928">
        <f>+ROUND('CE Min'!D329,0)</f>
        <v>0</v>
      </c>
      <c r="E58" s="928">
        <f>+ROUND('CE Min'!E329,0)</f>
        <v>0</v>
      </c>
      <c r="F58" s="930">
        <f t="shared" si="2"/>
        <v>0</v>
      </c>
      <c r="G58" s="184"/>
      <c r="I58"/>
    </row>
    <row r="59" spans="1:9">
      <c r="A59" s="10">
        <v>3</v>
      </c>
      <c r="B59" s="11" t="s">
        <v>55</v>
      </c>
      <c r="C59" s="19"/>
      <c r="D59" s="936">
        <f t="shared" ref="D59" si="16">SUM(D60:D62)</f>
        <v>12240544</v>
      </c>
      <c r="E59" s="936">
        <f t="shared" ref="E59" si="17">SUM(E60:E62)</f>
        <v>11652254</v>
      </c>
      <c r="F59" s="932">
        <f t="shared" si="2"/>
        <v>588290</v>
      </c>
      <c r="G59" s="184">
        <f t="shared" si="3"/>
        <v>5.0487227621368362E-2</v>
      </c>
      <c r="I59"/>
    </row>
    <row r="60" spans="1:9">
      <c r="A60" s="13"/>
      <c r="B60" s="15" t="s">
        <v>56</v>
      </c>
      <c r="C60" s="14"/>
      <c r="D60" s="928">
        <f>+ROUND('CE Min'!D331,0)</f>
        <v>11540297</v>
      </c>
      <c r="E60" s="928">
        <f>+ROUND('CE Min'!E331,0)</f>
        <v>11204473</v>
      </c>
      <c r="F60" s="930">
        <f t="shared" si="2"/>
        <v>335824</v>
      </c>
      <c r="G60" s="183">
        <f t="shared" si="3"/>
        <v>2.9972315520774603E-2</v>
      </c>
      <c r="I60"/>
    </row>
    <row r="61" spans="1:9">
      <c r="A61" s="13"/>
      <c r="B61" s="15" t="s">
        <v>57</v>
      </c>
      <c r="C61" s="58"/>
      <c r="D61" s="928">
        <f>+ROUND('CE Min'!D351,0)</f>
        <v>478233</v>
      </c>
      <c r="E61" s="928">
        <f>+ROUND('CE Min'!E351,0)</f>
        <v>277451</v>
      </c>
      <c r="F61" s="930">
        <f t="shared" si="2"/>
        <v>200782</v>
      </c>
      <c r="G61" s="183">
        <f t="shared" si="3"/>
        <v>0.72366652129565223</v>
      </c>
      <c r="I61"/>
    </row>
    <row r="62" spans="1:9">
      <c r="A62" s="13"/>
      <c r="B62" s="15" t="s">
        <v>58</v>
      </c>
      <c r="C62" s="14"/>
      <c r="D62" s="928">
        <f>+ROUND('CE Min'!D365,0)</f>
        <v>222014</v>
      </c>
      <c r="E62" s="928">
        <f>+ROUND('CE Min'!E365,0)</f>
        <v>170330</v>
      </c>
      <c r="F62" s="930">
        <f t="shared" si="2"/>
        <v>51684</v>
      </c>
      <c r="G62" s="183">
        <f t="shared" si="3"/>
        <v>0.30343450948159456</v>
      </c>
      <c r="I62"/>
    </row>
    <row r="63" spans="1:9">
      <c r="A63" s="10">
        <v>4</v>
      </c>
      <c r="B63" s="20" t="s">
        <v>59</v>
      </c>
      <c r="C63" s="19"/>
      <c r="D63" s="936">
        <f>+ROUND('CE Min'!D368,0)</f>
        <v>2025064</v>
      </c>
      <c r="E63" s="936">
        <f>+ROUND('CE Min'!E368,0)</f>
        <v>1948330</v>
      </c>
      <c r="F63" s="932">
        <f t="shared" si="2"/>
        <v>76734</v>
      </c>
      <c r="G63" s="184">
        <f t="shared" si="3"/>
        <v>3.9384498519244686E-2</v>
      </c>
      <c r="I63"/>
    </row>
    <row r="64" spans="1:9">
      <c r="A64" s="10">
        <v>5</v>
      </c>
      <c r="B64" s="11" t="s">
        <v>60</v>
      </c>
      <c r="C64" s="11"/>
      <c r="D64" s="936">
        <f>+ROUND('CE Min'!D376,0)</f>
        <v>1794314</v>
      </c>
      <c r="E64" s="936">
        <f>+ROUND('CE Min'!E376,0)</f>
        <v>1723263</v>
      </c>
      <c r="F64" s="932">
        <f t="shared" si="2"/>
        <v>71051</v>
      </c>
      <c r="G64" s="184">
        <f t="shared" si="3"/>
        <v>4.1230502830966603E-2</v>
      </c>
      <c r="I64"/>
    </row>
    <row r="65" spans="1:9">
      <c r="A65" s="10">
        <v>6</v>
      </c>
      <c r="B65" s="11" t="s">
        <v>61</v>
      </c>
      <c r="C65" s="19"/>
      <c r="D65" s="936">
        <f t="shared" ref="D65" si="18">SUM(D66:D70)</f>
        <v>49530587</v>
      </c>
      <c r="E65" s="936">
        <f t="shared" ref="E65" si="19">SUM(E66:E70)</f>
        <v>46477866</v>
      </c>
      <c r="F65" s="932">
        <f t="shared" si="2"/>
        <v>3052721</v>
      </c>
      <c r="G65" s="184">
        <f t="shared" si="3"/>
        <v>6.5681178219327022E-2</v>
      </c>
      <c r="I65"/>
    </row>
    <row r="66" spans="1:9">
      <c r="A66" s="10"/>
      <c r="B66" s="14" t="s">
        <v>62</v>
      </c>
      <c r="C66" s="16"/>
      <c r="D66" s="928">
        <f>+ROUND('CE Min'!D389,0)</f>
        <v>16913733</v>
      </c>
      <c r="E66" s="928">
        <f>+ROUND('CE Min'!E389,0)</f>
        <v>15995286</v>
      </c>
      <c r="F66" s="930">
        <f t="shared" si="2"/>
        <v>918447</v>
      </c>
      <c r="G66" s="183">
        <f t="shared" si="3"/>
        <v>5.7419854824727737E-2</v>
      </c>
      <c r="I66"/>
    </row>
    <row r="67" spans="1:9">
      <c r="A67" s="10"/>
      <c r="B67" s="14" t="s">
        <v>63</v>
      </c>
      <c r="C67" s="16"/>
      <c r="D67" s="928">
        <f>+ROUND('CE Min'!D393,0)</f>
        <v>2403440</v>
      </c>
      <c r="E67" s="928">
        <f>+ROUND('CE Min'!E393,0)</f>
        <v>2177195</v>
      </c>
      <c r="F67" s="930">
        <f t="shared" si="2"/>
        <v>226245</v>
      </c>
      <c r="G67" s="183">
        <f t="shared" si="3"/>
        <v>0.10391581828912891</v>
      </c>
      <c r="I67"/>
    </row>
    <row r="68" spans="1:9">
      <c r="A68" s="10"/>
      <c r="B68" s="14" t="s">
        <v>64</v>
      </c>
      <c r="C68" s="16"/>
      <c r="D68" s="928">
        <f>+ROUND('CE Min'!D397,0)</f>
        <v>21285745</v>
      </c>
      <c r="E68" s="928">
        <f>+ROUND('CE Min'!E397,0)</f>
        <v>19874885</v>
      </c>
      <c r="F68" s="930">
        <f t="shared" si="2"/>
        <v>1410860</v>
      </c>
      <c r="G68" s="183">
        <f t="shared" si="3"/>
        <v>7.0987077409504509E-2</v>
      </c>
      <c r="I68"/>
    </row>
    <row r="69" spans="1:9">
      <c r="A69" s="13"/>
      <c r="B69" s="14" t="s">
        <v>65</v>
      </c>
      <c r="C69" s="16"/>
      <c r="D69" s="928">
        <f>+ROUND('CE Min'!D402+'CE Min'!D411+'CE Min'!D420,0)</f>
        <v>1380497</v>
      </c>
      <c r="E69" s="928">
        <f>+ROUND('CE Min'!E402+'CE Min'!E411+'CE Min'!E420,0)</f>
        <v>1346301</v>
      </c>
      <c r="F69" s="930">
        <f t="shared" si="2"/>
        <v>34196</v>
      </c>
      <c r="G69" s="183">
        <f t="shared" si="3"/>
        <v>2.5399966277972013E-2</v>
      </c>
      <c r="I69"/>
    </row>
    <row r="70" spans="1:9">
      <c r="A70" s="13"/>
      <c r="B70" s="14" t="s">
        <v>66</v>
      </c>
      <c r="C70" s="16"/>
      <c r="D70" s="928">
        <f>+ROUND('CE Min'!D406+'CE Min'!D415+'CE Min'!D424,0)</f>
        <v>7547172</v>
      </c>
      <c r="E70" s="928">
        <f>+ROUND('CE Min'!E406+'CE Min'!E415+'CE Min'!E424,0)</f>
        <v>7084199</v>
      </c>
      <c r="F70" s="930">
        <f t="shared" si="2"/>
        <v>462973</v>
      </c>
      <c r="G70" s="183">
        <f t="shared" si="3"/>
        <v>6.5352907223526616E-2</v>
      </c>
      <c r="I70"/>
    </row>
    <row r="71" spans="1:9">
      <c r="A71" s="10">
        <v>7</v>
      </c>
      <c r="B71" s="20" t="s">
        <v>67</v>
      </c>
      <c r="C71" s="11"/>
      <c r="D71" s="936">
        <f>+ROUND('CE Min'!D428,0)</f>
        <v>960353</v>
      </c>
      <c r="E71" s="936">
        <f>+ROUND('CE Min'!E428,0)</f>
        <v>931927</v>
      </c>
      <c r="F71" s="932">
        <f t="shared" si="2"/>
        <v>28426</v>
      </c>
      <c r="G71" s="184">
        <f t="shared" si="3"/>
        <v>3.0502389135629721E-2</v>
      </c>
      <c r="I71"/>
    </row>
    <row r="72" spans="1:9">
      <c r="A72" s="10">
        <v>8</v>
      </c>
      <c r="B72" s="20" t="s">
        <v>68</v>
      </c>
      <c r="C72" s="11"/>
      <c r="D72" s="936">
        <f t="shared" ref="D72" si="20">SUM(D73:D75)</f>
        <v>3589629</v>
      </c>
      <c r="E72" s="936">
        <f t="shared" ref="E72" si="21">SUM(E73:E75)</f>
        <v>3520922</v>
      </c>
      <c r="F72" s="932">
        <f t="shared" si="2"/>
        <v>68707</v>
      </c>
      <c r="G72" s="184"/>
      <c r="I72"/>
    </row>
    <row r="73" spans="1:9">
      <c r="A73" s="10"/>
      <c r="B73" s="14" t="s">
        <v>69</v>
      </c>
      <c r="C73" s="16"/>
      <c r="D73" s="928">
        <f>+ROUND('CE Min'!D437,0)</f>
        <v>13125</v>
      </c>
      <c r="E73" s="928">
        <f>+ROUND('CE Min'!E437,0)</f>
        <v>14514</v>
      </c>
      <c r="F73" s="930">
        <f t="shared" si="2"/>
        <v>-1389</v>
      </c>
      <c r="G73" s="184"/>
      <c r="I73"/>
    </row>
    <row r="74" spans="1:9">
      <c r="A74" s="10"/>
      <c r="B74" s="14" t="s">
        <v>70</v>
      </c>
      <c r="C74" s="16"/>
      <c r="D74" s="928">
        <f>+ROUND('CE Min'!D439,0)</f>
        <v>1328310</v>
      </c>
      <c r="E74" s="928">
        <f>+ROUND('CE Min'!E439,0)+1</f>
        <v>1259668</v>
      </c>
      <c r="F74" s="930">
        <f t="shared" ref="F74:F120" si="22">+D74-E74</f>
        <v>68642</v>
      </c>
      <c r="G74" s="184"/>
      <c r="I74"/>
    </row>
    <row r="75" spans="1:9">
      <c r="A75" s="13"/>
      <c r="B75" s="14" t="s">
        <v>71</v>
      </c>
      <c r="C75" s="16"/>
      <c r="D75" s="928">
        <f>+ROUND('CE Min'!D442,0)</f>
        <v>2248194</v>
      </c>
      <c r="E75" s="928">
        <f>+ROUND('CE Min'!E442,0)</f>
        <v>2246740</v>
      </c>
      <c r="F75" s="930">
        <f t="shared" si="22"/>
        <v>1454</v>
      </c>
      <c r="G75" s="184"/>
      <c r="I75"/>
    </row>
    <row r="76" spans="1:9">
      <c r="A76" s="10">
        <v>9</v>
      </c>
      <c r="B76" s="20" t="s">
        <v>72</v>
      </c>
      <c r="C76" s="11"/>
      <c r="D76" s="936">
        <f>+ROUND('CE Min'!D443,0)</f>
        <v>47470</v>
      </c>
      <c r="E76" s="936">
        <f>+ROUND('CE Min'!E443,0)</f>
        <v>4012</v>
      </c>
      <c r="F76" s="932">
        <f t="shared" si="22"/>
        <v>43458</v>
      </c>
      <c r="G76" s="184">
        <f t="shared" ref="G76:G120" si="23">+F76/E76</f>
        <v>10.832003988035892</v>
      </c>
      <c r="I76"/>
    </row>
    <row r="77" spans="1:9">
      <c r="A77" s="10">
        <v>10</v>
      </c>
      <c r="B77" s="11" t="s">
        <v>73</v>
      </c>
      <c r="C77" s="19"/>
      <c r="D77" s="936">
        <f t="shared" ref="D77" si="24">SUM(D78:D79)</f>
        <v>372443</v>
      </c>
      <c r="E77" s="936">
        <f t="shared" ref="E77" si="25">SUM(E78:E79)</f>
        <v>227198</v>
      </c>
      <c r="F77" s="932">
        <f t="shared" si="22"/>
        <v>145245</v>
      </c>
      <c r="G77" s="184"/>
      <c r="I77"/>
    </row>
    <row r="78" spans="1:9">
      <c r="A78" s="10"/>
      <c r="B78" s="14" t="s">
        <v>74</v>
      </c>
      <c r="C78" s="16"/>
      <c r="D78" s="928">
        <f>+ROUND('CE Min'!D447,0)</f>
        <v>380034</v>
      </c>
      <c r="E78" s="928">
        <f>+ROUND('CE Min'!E447,0)</f>
        <v>247109</v>
      </c>
      <c r="F78" s="930">
        <f t="shared" si="22"/>
        <v>132925</v>
      </c>
      <c r="G78" s="184"/>
      <c r="I78"/>
    </row>
    <row r="79" spans="1:9">
      <c r="A79" s="10"/>
      <c r="B79" s="14" t="s">
        <v>75</v>
      </c>
      <c r="C79" s="16"/>
      <c r="D79" s="928">
        <f>+ROUND('CE Min'!D456,0)</f>
        <v>-7591</v>
      </c>
      <c r="E79" s="928">
        <f>+ROUND('CE Min'!E456,0)</f>
        <v>-19911</v>
      </c>
      <c r="F79" s="930">
        <f t="shared" si="22"/>
        <v>12320</v>
      </c>
      <c r="G79" s="184"/>
      <c r="I79"/>
    </row>
    <row r="80" spans="1:9">
      <c r="A80" s="10">
        <v>11</v>
      </c>
      <c r="B80" s="11" t="s">
        <v>76</v>
      </c>
      <c r="C80" s="19"/>
      <c r="D80" s="936">
        <f t="shared" ref="D80" si="26">SUM(D81:D84)</f>
        <v>8081658</v>
      </c>
      <c r="E80" s="936">
        <f t="shared" ref="E80" si="27">SUM(E81:E84)</f>
        <v>7900477</v>
      </c>
      <c r="F80" s="932">
        <f t="shared" si="22"/>
        <v>181181</v>
      </c>
      <c r="G80" s="184">
        <f t="shared" si="23"/>
        <v>2.2932919113618076E-2</v>
      </c>
      <c r="I80"/>
    </row>
    <row r="81" spans="1:9">
      <c r="A81" s="10"/>
      <c r="B81" s="14" t="s">
        <v>77</v>
      </c>
      <c r="C81" s="12"/>
      <c r="D81" s="928">
        <f>+ROUND('CE Min'!D464,0)</f>
        <v>138615</v>
      </c>
      <c r="E81" s="928">
        <f>+ROUND('CE Min'!E464,0)</f>
        <v>0</v>
      </c>
      <c r="F81" s="930">
        <f t="shared" si="22"/>
        <v>138615</v>
      </c>
      <c r="G81" s="184"/>
      <c r="I81"/>
    </row>
    <row r="82" spans="1:9">
      <c r="A82" s="10"/>
      <c r="B82" s="14" t="s">
        <v>78</v>
      </c>
      <c r="C82" s="12"/>
      <c r="D82" s="928">
        <f>+ROUND('CE Min'!D472,0)</f>
        <v>0</v>
      </c>
      <c r="E82" s="928">
        <f>+ROUND('CE Min'!E472,0)</f>
        <v>0</v>
      </c>
      <c r="F82" s="930">
        <f t="shared" si="22"/>
        <v>0</v>
      </c>
      <c r="G82" s="184"/>
      <c r="I82"/>
    </row>
    <row r="83" spans="1:9">
      <c r="A83" s="10"/>
      <c r="B83" s="14" t="s">
        <v>79</v>
      </c>
      <c r="C83" s="12"/>
      <c r="D83" s="928">
        <f>+ROUND('CE Min'!D473,0)</f>
        <v>6363249</v>
      </c>
      <c r="E83" s="928">
        <f>+ROUND('CE Min'!E473,0)</f>
        <v>6556396</v>
      </c>
      <c r="F83" s="930">
        <f t="shared" si="22"/>
        <v>-193147</v>
      </c>
      <c r="G83" s="184">
        <f t="shared" si="23"/>
        <v>-2.9459324909599724E-2</v>
      </c>
      <c r="I83"/>
    </row>
    <row r="84" spans="1:9">
      <c r="A84" s="10"/>
      <c r="B84" s="14" t="s">
        <v>80</v>
      </c>
      <c r="C84" s="12"/>
      <c r="D84" s="928">
        <f>+ROUND('CE Min'!D480,0)</f>
        <v>1579794</v>
      </c>
      <c r="E84" s="928">
        <f>+ROUND('CE Min'!E480,0)</f>
        <v>1344081</v>
      </c>
      <c r="F84" s="930">
        <f t="shared" si="22"/>
        <v>235713</v>
      </c>
      <c r="G84" s="184">
        <f t="shared" si="23"/>
        <v>0.17537112718653117</v>
      </c>
      <c r="I84"/>
    </row>
    <row r="85" spans="1:9">
      <c r="A85" s="227" t="s">
        <v>81</v>
      </c>
      <c r="B85" s="228"/>
      <c r="C85" s="228"/>
      <c r="D85" s="933">
        <f t="shared" ref="D85" si="28">D38+D41+D63+D64+D65+D71+D72+D76+D77+D80+D59</f>
        <v>100984344</v>
      </c>
      <c r="E85" s="933">
        <f t="shared" ref="E85" si="29">E38+E41+E63+E64+E65+E71+E72+E76+E77+E80+E59</f>
        <v>95531606</v>
      </c>
      <c r="F85" s="934">
        <f t="shared" si="22"/>
        <v>5452738</v>
      </c>
      <c r="G85" s="172">
        <f t="shared" si="23"/>
        <v>5.7077842907822571E-2</v>
      </c>
      <c r="I85"/>
    </row>
    <row r="86" spans="1:9" ht="13.5" thickBot="1">
      <c r="A86" s="21"/>
      <c r="B86" s="22"/>
      <c r="C86" s="23"/>
      <c r="D86" s="937"/>
      <c r="E86" s="937"/>
      <c r="F86" s="938"/>
      <c r="G86" s="185"/>
      <c r="I86"/>
    </row>
    <row r="87" spans="1:9" ht="13.5" thickBot="1">
      <c r="A87" s="229" t="s">
        <v>82</v>
      </c>
      <c r="B87" s="230"/>
      <c r="C87" s="230"/>
      <c r="D87" s="939">
        <f>+D35-D85</f>
        <v>4130222</v>
      </c>
      <c r="E87" s="939">
        <f>+E35-E85</f>
        <v>2656238</v>
      </c>
      <c r="F87" s="934"/>
      <c r="G87" s="172"/>
      <c r="I87"/>
    </row>
    <row r="88" spans="1:9">
      <c r="A88" s="24"/>
      <c r="B88" s="25"/>
      <c r="C88" s="26"/>
      <c r="D88" s="935"/>
      <c r="E88" s="935"/>
      <c r="F88" s="930"/>
      <c r="G88" s="183"/>
      <c r="I88"/>
    </row>
    <row r="89" spans="1:9">
      <c r="A89" s="10" t="s">
        <v>83</v>
      </c>
      <c r="B89" s="11" t="s">
        <v>84</v>
      </c>
      <c r="C89" s="19"/>
      <c r="D89" s="936"/>
      <c r="E89" s="936"/>
      <c r="F89" s="932"/>
      <c r="G89" s="184"/>
      <c r="I89"/>
    </row>
    <row r="90" spans="1:9">
      <c r="A90" s="27"/>
      <c r="B90" s="4" t="s">
        <v>85</v>
      </c>
      <c r="C90" s="28" t="s">
        <v>86</v>
      </c>
      <c r="D90" s="931">
        <f>+ROUND('CE Min'!D493+'CE Min'!D497,0)+3</f>
        <v>844</v>
      </c>
      <c r="E90" s="931">
        <f>+ROUND('CE Min'!E493+'CE Min'!E497,0)</f>
        <v>215</v>
      </c>
      <c r="F90" s="932">
        <f t="shared" si="22"/>
        <v>629</v>
      </c>
      <c r="G90" s="184">
        <f t="shared" si="23"/>
        <v>2.925581395348837</v>
      </c>
      <c r="I90"/>
    </row>
    <row r="91" spans="1:9">
      <c r="A91" s="27"/>
      <c r="B91" s="4" t="s">
        <v>87</v>
      </c>
      <c r="C91" s="28" t="s">
        <v>88</v>
      </c>
      <c r="D91" s="931">
        <f>+ROUND('CE Min'!D503+'CE Min'!D507,0)</f>
        <v>6</v>
      </c>
      <c r="E91" s="931">
        <f>+ROUND('CE Min'!E503+'CE Min'!E507,0)</f>
        <v>7</v>
      </c>
      <c r="F91" s="932">
        <f t="shared" si="22"/>
        <v>-1</v>
      </c>
      <c r="G91" s="184"/>
      <c r="I91"/>
    </row>
    <row r="92" spans="1:9">
      <c r="A92" s="227" t="s">
        <v>89</v>
      </c>
      <c r="B92" s="228"/>
      <c r="C92" s="228" t="s">
        <v>90</v>
      </c>
      <c r="D92" s="933">
        <f t="shared" ref="D92" si="30">+D90-D91</f>
        <v>838</v>
      </c>
      <c r="E92" s="933">
        <f t="shared" ref="E92" si="31">+E90-E91</f>
        <v>208</v>
      </c>
      <c r="F92" s="934">
        <f t="shared" si="22"/>
        <v>630</v>
      </c>
      <c r="G92" s="172">
        <f t="shared" si="23"/>
        <v>3.0288461538461537</v>
      </c>
      <c r="I92"/>
    </row>
    <row r="93" spans="1:9">
      <c r="A93" s="27"/>
      <c r="B93" s="29"/>
      <c r="C93" s="11"/>
      <c r="D93" s="936"/>
      <c r="E93" s="936"/>
      <c r="F93" s="932"/>
      <c r="G93" s="184"/>
      <c r="I93"/>
    </row>
    <row r="94" spans="1:9">
      <c r="A94" s="10" t="s">
        <v>91</v>
      </c>
      <c r="B94" s="11" t="s">
        <v>92</v>
      </c>
      <c r="C94" s="11"/>
      <c r="D94" s="936"/>
      <c r="E94" s="936"/>
      <c r="F94" s="932"/>
      <c r="G94" s="184"/>
      <c r="I94"/>
    </row>
    <row r="95" spans="1:9">
      <c r="A95" s="27"/>
      <c r="B95" s="4" t="s">
        <v>85</v>
      </c>
      <c r="C95" s="11" t="s">
        <v>93</v>
      </c>
      <c r="D95" s="931">
        <f>+ROUND(+'CE Min'!D512,0)</f>
        <v>0</v>
      </c>
      <c r="E95" s="931">
        <f>+ROUND(+'CE Min'!E512,0)</f>
        <v>0</v>
      </c>
      <c r="F95" s="932">
        <f t="shared" si="22"/>
        <v>0</v>
      </c>
      <c r="G95" s="184"/>
      <c r="I95"/>
    </row>
    <row r="96" spans="1:9">
      <c r="A96" s="27"/>
      <c r="B96" s="4" t="s">
        <v>87</v>
      </c>
      <c r="C96" s="11" t="s">
        <v>94</v>
      </c>
      <c r="D96" s="931">
        <f>+ROUND(+'CE Min'!D513,0)</f>
        <v>0</v>
      </c>
      <c r="E96" s="931">
        <f>+ROUND(+'CE Min'!E513,0)</f>
        <v>0</v>
      </c>
      <c r="F96" s="932">
        <f t="shared" si="22"/>
        <v>0</v>
      </c>
      <c r="G96" s="184"/>
      <c r="I96"/>
    </row>
    <row r="97" spans="1:9">
      <c r="A97" s="227" t="s">
        <v>95</v>
      </c>
      <c r="B97" s="228"/>
      <c r="C97" s="228" t="s">
        <v>90</v>
      </c>
      <c r="D97" s="933">
        <f t="shared" ref="D97" si="32">D95-D96</f>
        <v>0</v>
      </c>
      <c r="E97" s="933">
        <f t="shared" ref="E97" si="33">E95-E96</f>
        <v>0</v>
      </c>
      <c r="F97" s="934">
        <f t="shared" si="22"/>
        <v>0</v>
      </c>
      <c r="G97" s="172"/>
      <c r="I97"/>
    </row>
    <row r="98" spans="1:9">
      <c r="A98" s="27"/>
      <c r="B98" s="29"/>
      <c r="C98" s="11"/>
      <c r="D98" s="940"/>
      <c r="E98" s="940"/>
      <c r="F98" s="941"/>
      <c r="G98" s="186"/>
      <c r="I98"/>
    </row>
    <row r="99" spans="1:9">
      <c r="A99" s="10" t="s">
        <v>96</v>
      </c>
      <c r="B99" s="11" t="s">
        <v>97</v>
      </c>
      <c r="C99" s="19"/>
      <c r="D99" s="940"/>
      <c r="E99" s="940"/>
      <c r="F99" s="941"/>
      <c r="G99" s="186"/>
      <c r="I99"/>
    </row>
    <row r="100" spans="1:9">
      <c r="A100" s="10"/>
      <c r="B100" s="4">
        <v>1</v>
      </c>
      <c r="C100" s="28" t="s">
        <v>98</v>
      </c>
      <c r="D100" s="940">
        <f t="shared" ref="D100" si="34">SUM(D101:D102)</f>
        <v>482568</v>
      </c>
      <c r="E100" s="940">
        <f t="shared" ref="E100" si="35">SUM(E101:E102)</f>
        <v>1708283</v>
      </c>
      <c r="F100" s="941">
        <f t="shared" si="22"/>
        <v>-1225715</v>
      </c>
      <c r="G100" s="186">
        <f t="shared" si="23"/>
        <v>-0.71751284769561019</v>
      </c>
      <c r="I100"/>
    </row>
    <row r="101" spans="1:9">
      <c r="A101" s="10"/>
      <c r="B101" s="4"/>
      <c r="C101" s="14" t="s">
        <v>99</v>
      </c>
      <c r="D101" s="928">
        <f>+ROUND(+'CE Min'!D517,0)</f>
        <v>0</v>
      </c>
      <c r="E101" s="928">
        <f>+ROUND(+'CE Min'!E517,0)</f>
        <v>0</v>
      </c>
      <c r="F101" s="924">
        <f t="shared" si="22"/>
        <v>0</v>
      </c>
      <c r="G101" s="187"/>
      <c r="I101"/>
    </row>
    <row r="102" spans="1:9">
      <c r="A102" s="10"/>
      <c r="B102" s="4"/>
      <c r="C102" s="14" t="s">
        <v>100</v>
      </c>
      <c r="D102" s="928">
        <f>+ROUND('CE Min'!D518,0)</f>
        <v>482568</v>
      </c>
      <c r="E102" s="928">
        <f>+ROUND('CE Min'!E518,0)</f>
        <v>1708283</v>
      </c>
      <c r="F102" s="924">
        <f t="shared" si="22"/>
        <v>-1225715</v>
      </c>
      <c r="G102" s="187">
        <f t="shared" si="23"/>
        <v>-0.71751284769561019</v>
      </c>
      <c r="I102"/>
    </row>
    <row r="103" spans="1:9">
      <c r="A103" s="10"/>
      <c r="B103" s="4">
        <v>2</v>
      </c>
      <c r="C103" s="11" t="s">
        <v>101</v>
      </c>
      <c r="D103" s="940">
        <f t="shared" ref="D103" si="36">SUM(D104:D105)</f>
        <v>986778</v>
      </c>
      <c r="E103" s="940">
        <f t="shared" ref="E103" si="37">SUM(E104:E105)</f>
        <v>982516</v>
      </c>
      <c r="F103" s="941">
        <f t="shared" si="22"/>
        <v>4262</v>
      </c>
      <c r="G103" s="186">
        <f t="shared" si="23"/>
        <v>4.337842844289559E-3</v>
      </c>
      <c r="I103"/>
    </row>
    <row r="104" spans="1:9">
      <c r="A104" s="10"/>
      <c r="B104" s="4"/>
      <c r="C104" s="14" t="s">
        <v>102</v>
      </c>
      <c r="D104" s="928">
        <f>+ROUND(+'CE Min'!D543,0)</f>
        <v>6742</v>
      </c>
      <c r="E104" s="928">
        <f>+ROUND(+'CE Min'!E543,0)</f>
        <v>2359</v>
      </c>
      <c r="F104" s="942">
        <f t="shared" si="22"/>
        <v>4383</v>
      </c>
      <c r="G104" s="188"/>
      <c r="I104"/>
    </row>
    <row r="105" spans="1:9">
      <c r="A105" s="10"/>
      <c r="B105" s="4"/>
      <c r="C105" s="14" t="s">
        <v>103</v>
      </c>
      <c r="D105" s="928">
        <f>+ROUND('CE Min'!D544,0)</f>
        <v>980036</v>
      </c>
      <c r="E105" s="928">
        <f>+ROUND('CE Min'!E544,0)</f>
        <v>980157</v>
      </c>
      <c r="F105" s="942">
        <f t="shared" si="22"/>
        <v>-121</v>
      </c>
      <c r="G105" s="188">
        <f t="shared" si="23"/>
        <v>-1.2344961062360417E-4</v>
      </c>
      <c r="I105"/>
    </row>
    <row r="106" spans="1:9">
      <c r="A106" s="227" t="s">
        <v>104</v>
      </c>
      <c r="B106" s="228"/>
      <c r="C106" s="228" t="s">
        <v>105</v>
      </c>
      <c r="D106" s="943">
        <f t="shared" ref="D106" si="38">D100-D103</f>
        <v>-504210</v>
      </c>
      <c r="E106" s="943">
        <f t="shared" ref="E106" si="39">E100-E103</f>
        <v>725767</v>
      </c>
      <c r="F106" s="944">
        <f t="shared" si="22"/>
        <v>-1229977</v>
      </c>
      <c r="G106" s="173">
        <f t="shared" si="23"/>
        <v>-1.6947270956105747</v>
      </c>
      <c r="I106"/>
    </row>
    <row r="107" spans="1:9" ht="13.5" thickBot="1">
      <c r="A107" s="30"/>
      <c r="B107" s="31"/>
      <c r="C107" s="32"/>
      <c r="D107" s="945"/>
      <c r="E107" s="945"/>
      <c r="F107" s="946"/>
      <c r="G107" s="189"/>
      <c r="I107"/>
    </row>
    <row r="108" spans="1:9" ht="13.5" thickBot="1">
      <c r="A108" s="229" t="s">
        <v>106</v>
      </c>
      <c r="B108" s="230"/>
      <c r="C108" s="230"/>
      <c r="D108" s="947">
        <f t="shared" ref="D108" si="40">D87+D92+D97+D106</f>
        <v>3626850</v>
      </c>
      <c r="E108" s="947">
        <f t="shared" ref="E108" si="41">E87+E92+E97+E106</f>
        <v>3382213</v>
      </c>
      <c r="F108" s="948">
        <f t="shared" si="22"/>
        <v>244637</v>
      </c>
      <c r="G108" s="174">
        <f t="shared" si="23"/>
        <v>7.2330453463457206E-2</v>
      </c>
      <c r="I108"/>
    </row>
    <row r="109" spans="1:9">
      <c r="A109" s="13"/>
      <c r="B109" s="17"/>
      <c r="C109" s="33"/>
      <c r="D109" s="949"/>
      <c r="E109" s="949"/>
      <c r="F109" s="942"/>
      <c r="G109" s="188"/>
      <c r="I109"/>
    </row>
    <row r="110" spans="1:9">
      <c r="A110" s="10" t="s">
        <v>107</v>
      </c>
      <c r="B110" s="11" t="s">
        <v>108</v>
      </c>
      <c r="C110" s="19"/>
      <c r="D110" s="940"/>
      <c r="E110" s="940"/>
      <c r="F110" s="941"/>
      <c r="G110" s="186"/>
      <c r="I110"/>
    </row>
    <row r="111" spans="1:9">
      <c r="A111" s="10"/>
      <c r="B111" s="4" t="s">
        <v>85</v>
      </c>
      <c r="C111" s="28" t="s">
        <v>109</v>
      </c>
      <c r="D111" s="940">
        <f t="shared" ref="D111" si="42">SUM(D112:D115)</f>
        <v>3593259</v>
      </c>
      <c r="E111" s="940">
        <f t="shared" ref="E111" si="43">SUM(E112:E115)</f>
        <v>3337088</v>
      </c>
      <c r="F111" s="941">
        <f t="shared" si="22"/>
        <v>256171</v>
      </c>
      <c r="G111" s="186">
        <f t="shared" si="23"/>
        <v>7.67648320931303E-2</v>
      </c>
      <c r="I111"/>
    </row>
    <row r="112" spans="1:9">
      <c r="A112" s="13"/>
      <c r="B112" s="15"/>
      <c r="C112" s="14" t="s">
        <v>110</v>
      </c>
      <c r="D112" s="928">
        <f>+ROUND(+'CE Min'!D578,0)</f>
        <v>3277337</v>
      </c>
      <c r="E112" s="928">
        <f>+ROUND(+'CE Min'!E578,0)</f>
        <v>3087721</v>
      </c>
      <c r="F112" s="924">
        <f t="shared" si="22"/>
        <v>189616</v>
      </c>
      <c r="G112" s="187">
        <f t="shared" si="23"/>
        <v>6.1409693427612148E-2</v>
      </c>
      <c r="I112"/>
    </row>
    <row r="113" spans="1:9">
      <c r="A113" s="13"/>
      <c r="B113" s="15"/>
      <c r="C113" s="14" t="s">
        <v>111</v>
      </c>
      <c r="D113" s="928">
        <f>+ROUND(+'CE Min'!D579,0)</f>
        <v>228260</v>
      </c>
      <c r="E113" s="928">
        <f>+ROUND(+'CE Min'!E579,0)</f>
        <v>175770</v>
      </c>
      <c r="F113" s="924">
        <f t="shared" si="22"/>
        <v>52490</v>
      </c>
      <c r="G113" s="187">
        <f t="shared" si="23"/>
        <v>0.29862889002673948</v>
      </c>
      <c r="I113"/>
    </row>
    <row r="114" spans="1:9">
      <c r="A114" s="13"/>
      <c r="B114" s="15"/>
      <c r="C114" s="14" t="s">
        <v>112</v>
      </c>
      <c r="D114" s="928">
        <f>+ROUND(+'CE Min'!D580,0)</f>
        <v>87662</v>
      </c>
      <c r="E114" s="928">
        <f>+ROUND(+'CE Min'!E580,0)</f>
        <v>73597</v>
      </c>
      <c r="F114" s="924">
        <f t="shared" si="22"/>
        <v>14065</v>
      </c>
      <c r="G114" s="187">
        <f t="shared" si="23"/>
        <v>0.19110833322010409</v>
      </c>
      <c r="I114"/>
    </row>
    <row r="115" spans="1:9">
      <c r="A115" s="13"/>
      <c r="B115" s="15"/>
      <c r="C115" s="14" t="s">
        <v>113</v>
      </c>
      <c r="D115" s="928">
        <f>+ROUND(+'CE Min'!D581,0)</f>
        <v>0</v>
      </c>
      <c r="E115" s="928">
        <f>+ROUND(+'CE Min'!E581,0)</f>
        <v>0</v>
      </c>
      <c r="F115" s="924">
        <f t="shared" si="22"/>
        <v>0</v>
      </c>
      <c r="G115" s="187"/>
      <c r="I115"/>
    </row>
    <row r="116" spans="1:9">
      <c r="A116" s="10"/>
      <c r="B116" s="4" t="s">
        <v>87</v>
      </c>
      <c r="C116" s="11" t="s">
        <v>114</v>
      </c>
      <c r="D116" s="936">
        <f>+ROUND(+'CE Min'!D582,0)</f>
        <v>33591</v>
      </c>
      <c r="E116" s="936">
        <f>+ROUND(+'CE Min'!E582,0)</f>
        <v>29525</v>
      </c>
      <c r="F116" s="941">
        <f t="shared" si="22"/>
        <v>4066</v>
      </c>
      <c r="G116" s="186">
        <f t="shared" si="23"/>
        <v>0.13771380186282811</v>
      </c>
      <c r="I116"/>
    </row>
    <row r="117" spans="1:9">
      <c r="A117" s="10"/>
      <c r="B117" s="4" t="s">
        <v>115</v>
      </c>
      <c r="C117" s="34" t="s">
        <v>116</v>
      </c>
      <c r="D117" s="936">
        <f>+ROUND(+'CE Min'!D585,0)</f>
        <v>0</v>
      </c>
      <c r="E117" s="936">
        <f>+ROUND(+'CE Min'!E585,0)</f>
        <v>0</v>
      </c>
      <c r="F117" s="950">
        <f t="shared" si="22"/>
        <v>0</v>
      </c>
      <c r="G117" s="190"/>
      <c r="I117"/>
    </row>
    <row r="118" spans="1:9">
      <c r="A118" s="227" t="s">
        <v>117</v>
      </c>
      <c r="B118" s="228"/>
      <c r="C118" s="228"/>
      <c r="D118" s="943">
        <f t="shared" ref="D118" si="44">D111+D116+D117</f>
        <v>3626850</v>
      </c>
      <c r="E118" s="943">
        <f t="shared" ref="E118" si="45">E111+E116+E117</f>
        <v>3366613</v>
      </c>
      <c r="F118" s="944">
        <f t="shared" si="22"/>
        <v>260237</v>
      </c>
      <c r="G118" s="173">
        <f t="shared" si="23"/>
        <v>7.7299351009456688E-2</v>
      </c>
      <c r="I118"/>
    </row>
    <row r="119" spans="1:9">
      <c r="A119" s="13"/>
      <c r="B119" s="17"/>
      <c r="C119" s="12"/>
      <c r="D119" s="942"/>
      <c r="E119" s="942"/>
      <c r="F119" s="942"/>
      <c r="G119" s="188"/>
      <c r="I119"/>
    </row>
    <row r="120" spans="1:9" ht="13.5" thickBot="1">
      <c r="A120" s="35" t="s">
        <v>118</v>
      </c>
      <c r="B120" s="36"/>
      <c r="C120" s="37"/>
      <c r="D120" s="951">
        <f t="shared" ref="D120" si="46">D108-D118</f>
        <v>0</v>
      </c>
      <c r="E120" s="951">
        <f t="shared" ref="E120" si="47">E108-E118</f>
        <v>15600</v>
      </c>
      <c r="F120" s="951">
        <f t="shared" si="22"/>
        <v>-15600</v>
      </c>
      <c r="G120" s="191">
        <f t="shared" si="23"/>
        <v>-1</v>
      </c>
      <c r="I120"/>
    </row>
    <row r="121" spans="1:9">
      <c r="G121" s="232"/>
      <c r="H121" s="322"/>
      <c r="I121"/>
    </row>
    <row r="122" spans="1:9">
      <c r="A122" s="38"/>
      <c r="B122" s="38"/>
      <c r="C122" s="38"/>
      <c r="D122" s="953"/>
      <c r="E122" s="953"/>
      <c r="F122" s="953"/>
      <c r="G122" s="39"/>
      <c r="H122" s="319"/>
      <c r="I122"/>
    </row>
    <row r="123" spans="1:9">
      <c r="G123" s="232"/>
      <c r="H123" s="322"/>
      <c r="I123"/>
    </row>
    <row r="124" spans="1:9">
      <c r="G124" s="232"/>
      <c r="H124" s="322"/>
      <c r="I124"/>
    </row>
    <row r="125" spans="1:9">
      <c r="C125" s="38"/>
      <c r="D125" s="953"/>
      <c r="E125" s="953"/>
      <c r="F125" s="953"/>
      <c r="G125" s="232"/>
      <c r="H125" s="320"/>
      <c r="I125"/>
    </row>
    <row r="126" spans="1:9">
      <c r="G126" s="232"/>
      <c r="H126" s="322"/>
      <c r="I126"/>
    </row>
    <row r="127" spans="1:9">
      <c r="G127" s="232"/>
      <c r="H127" s="322"/>
      <c r="I127"/>
    </row>
    <row r="128" spans="1:9">
      <c r="H128" s="322"/>
      <c r="I128"/>
    </row>
    <row r="129" spans="8:9">
      <c r="H129" s="322"/>
      <c r="I129"/>
    </row>
    <row r="130" spans="8:9">
      <c r="I130" s="321"/>
    </row>
  </sheetData>
  <mergeCells count="4">
    <mergeCell ref="A4:C4"/>
    <mergeCell ref="F4:G4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rowBreaks count="1" manualBreakCount="1"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9"/>
  <sheetViews>
    <sheetView workbookViewId="0">
      <selection activeCell="H3" sqref="H3:H5"/>
    </sheetView>
  </sheetViews>
  <sheetFormatPr defaultRowHeight="12.75"/>
  <cols>
    <col min="1" max="1" width="50.42578125" customWidth="1"/>
    <col min="2" max="2" width="15.42578125" style="247" customWidth="1"/>
    <col min="3" max="3" width="31.42578125" customWidth="1"/>
    <col min="4" max="4" width="10.5703125" customWidth="1"/>
    <col min="5" max="5" width="13.5703125" customWidth="1"/>
    <col min="6" max="6" width="19.5703125" customWidth="1"/>
    <col min="7" max="7" width="22.5703125" customWidth="1"/>
    <col min="8" max="12" width="13.5703125" customWidth="1"/>
  </cols>
  <sheetData>
    <row r="1" spans="1:12" ht="54.6" customHeight="1">
      <c r="A1" s="1056" t="s">
        <v>2217</v>
      </c>
      <c r="B1" s="1056"/>
      <c r="C1" s="1056"/>
      <c r="D1" s="1056"/>
      <c r="E1" s="1056"/>
      <c r="F1" s="1056"/>
      <c r="G1" s="1056"/>
      <c r="H1" s="1056"/>
      <c r="I1" s="1056"/>
      <c r="J1" s="1056"/>
      <c r="K1" s="1056"/>
    </row>
    <row r="2" spans="1:12" ht="13.5" thickBot="1"/>
    <row r="3" spans="1:12" ht="17.100000000000001" customHeight="1" thickTop="1">
      <c r="A3" s="1059" t="s">
        <v>2120</v>
      </c>
      <c r="B3" s="300"/>
      <c r="C3" s="1061" t="s">
        <v>2121</v>
      </c>
      <c r="D3" s="1057" t="s">
        <v>2112</v>
      </c>
      <c r="E3" s="1057" t="s">
        <v>2113</v>
      </c>
      <c r="F3" s="1058" t="s">
        <v>2114</v>
      </c>
      <c r="G3" s="1058"/>
      <c r="H3" s="1057" t="s">
        <v>2108</v>
      </c>
      <c r="I3" s="1057" t="s">
        <v>2109</v>
      </c>
      <c r="J3" s="1057" t="s">
        <v>2110</v>
      </c>
      <c r="K3" s="1057" t="s">
        <v>2105</v>
      </c>
      <c r="L3" s="1057" t="s">
        <v>2106</v>
      </c>
    </row>
    <row r="4" spans="1:12" ht="93" customHeight="1">
      <c r="A4" s="1060"/>
      <c r="B4" s="301"/>
      <c r="C4" s="1062"/>
      <c r="D4" s="1057"/>
      <c r="E4" s="1057"/>
      <c r="F4" s="1057" t="s">
        <v>2115</v>
      </c>
      <c r="G4" s="1057" t="s">
        <v>2116</v>
      </c>
      <c r="H4" s="1057"/>
      <c r="I4" s="1057"/>
      <c r="J4" s="1057"/>
      <c r="K4" s="1057"/>
      <c r="L4" s="1057"/>
    </row>
    <row r="5" spans="1:12" ht="15.75">
      <c r="A5" s="253" t="s">
        <v>2122</v>
      </c>
      <c r="B5" s="302"/>
      <c r="C5" s="1063"/>
      <c r="D5" s="1057"/>
      <c r="E5" s="1057"/>
      <c r="F5" s="1057"/>
      <c r="G5" s="1057"/>
      <c r="H5" s="1057"/>
      <c r="I5" s="1057"/>
      <c r="J5" s="1057"/>
      <c r="K5" s="1057"/>
      <c r="L5" s="1057"/>
    </row>
    <row r="6" spans="1:12" ht="25.5">
      <c r="A6" s="254" t="s">
        <v>2123</v>
      </c>
      <c r="B6" s="303" t="s">
        <v>2124</v>
      </c>
      <c r="C6" s="282" t="s">
        <v>2125</v>
      </c>
      <c r="D6" s="288" t="e">
        <f>+'CE Min'!#REF!</f>
        <v>#REF!</v>
      </c>
      <c r="E6" s="288" t="e">
        <f>+'CE Min'!#REF!</f>
        <v>#REF!</v>
      </c>
      <c r="F6" s="288" t="e">
        <f>+'CE Min'!#REF!</f>
        <v>#REF!</v>
      </c>
      <c r="G6" s="288" t="e">
        <f>+'CE Min'!#REF!</f>
        <v>#REF!</v>
      </c>
      <c r="H6" s="288" t="e">
        <f>+'CE Min'!#REF!</f>
        <v>#REF!</v>
      </c>
      <c r="I6" s="288" t="e">
        <f>+'CE Min'!#REF!</f>
        <v>#REF!</v>
      </c>
      <c r="J6" s="288" t="e">
        <f>+'CE Min'!#REF!</f>
        <v>#REF!</v>
      </c>
      <c r="K6" s="288" t="e">
        <f>+'CE Min'!#REF!</f>
        <v>#REF!</v>
      </c>
      <c r="L6" s="288" t="e">
        <f>+'CE Min'!#REF!</f>
        <v>#REF!</v>
      </c>
    </row>
    <row r="7" spans="1:12" ht="25.5">
      <c r="A7" s="255" t="s">
        <v>2126</v>
      </c>
      <c r="B7" s="304">
        <f>+B6+1</f>
        <v>2</v>
      </c>
      <c r="C7" s="283" t="s">
        <v>202</v>
      </c>
      <c r="D7" s="288" t="e">
        <f>+'CE Min'!#REF!</f>
        <v>#REF!</v>
      </c>
      <c r="E7" s="288" t="e">
        <f>+'CE Min'!#REF!</f>
        <v>#REF!</v>
      </c>
      <c r="F7" s="288" t="e">
        <f>+'CE Min'!#REF!</f>
        <v>#REF!</v>
      </c>
      <c r="G7" s="288" t="e">
        <f>+'CE Min'!#REF!</f>
        <v>#REF!</v>
      </c>
      <c r="H7" s="288" t="e">
        <f>+'CE Min'!#REF!</f>
        <v>#REF!</v>
      </c>
      <c r="I7" s="288" t="e">
        <f>+'CE Min'!#REF!</f>
        <v>#REF!</v>
      </c>
      <c r="J7" s="288" t="e">
        <f>+'CE Min'!#REF!</f>
        <v>#REF!</v>
      </c>
      <c r="K7" s="288" t="e">
        <f>+'CE Min'!#REF!</f>
        <v>#REF!</v>
      </c>
      <c r="L7" s="288" t="e">
        <f>+'CE Min'!#REF!</f>
        <v>#REF!</v>
      </c>
    </row>
    <row r="8" spans="1:12">
      <c r="A8" s="255" t="s">
        <v>2127</v>
      </c>
      <c r="B8" s="304">
        <f t="shared" ref="B8:B18" si="0">+B7+1</f>
        <v>3</v>
      </c>
      <c r="C8" s="283" t="s">
        <v>157</v>
      </c>
      <c r="D8" s="288" t="e">
        <f>+'CE Min'!#REF!</f>
        <v>#REF!</v>
      </c>
      <c r="E8" s="288" t="e">
        <f>+'CE Min'!#REF!</f>
        <v>#REF!</v>
      </c>
      <c r="F8" s="288" t="e">
        <f>+'CE Min'!#REF!</f>
        <v>#REF!</v>
      </c>
      <c r="G8" s="288" t="e">
        <f>+'CE Min'!#REF!</f>
        <v>#REF!</v>
      </c>
      <c r="H8" s="288" t="e">
        <f>+'CE Min'!#REF!</f>
        <v>#REF!</v>
      </c>
      <c r="I8" s="288" t="e">
        <f>+'CE Min'!#REF!</f>
        <v>#REF!</v>
      </c>
      <c r="J8" s="288" t="e">
        <f>+'CE Min'!#REF!</f>
        <v>#REF!</v>
      </c>
      <c r="K8" s="288" t="e">
        <f>+'CE Min'!#REF!</f>
        <v>#REF!</v>
      </c>
      <c r="L8" s="288" t="e">
        <f>+'CE Min'!#REF!</f>
        <v>#REF!</v>
      </c>
    </row>
    <row r="9" spans="1:12">
      <c r="A9" s="255" t="s">
        <v>2128</v>
      </c>
      <c r="B9" s="304">
        <f t="shared" si="0"/>
        <v>4</v>
      </c>
      <c r="C9" s="283" t="s">
        <v>158</v>
      </c>
      <c r="D9" s="288" t="e">
        <f>+'CE Min'!#REF!</f>
        <v>#REF!</v>
      </c>
      <c r="E9" s="288" t="e">
        <f>+'CE Min'!#REF!</f>
        <v>#REF!</v>
      </c>
      <c r="F9" s="288" t="e">
        <f>+'CE Min'!#REF!</f>
        <v>#REF!</v>
      </c>
      <c r="G9" s="288" t="e">
        <f>+'CE Min'!#REF!</f>
        <v>#REF!</v>
      </c>
      <c r="H9" s="288" t="e">
        <f>+'CE Min'!#REF!</f>
        <v>#REF!</v>
      </c>
      <c r="I9" s="288" t="e">
        <f>+'CE Min'!#REF!</f>
        <v>#REF!</v>
      </c>
      <c r="J9" s="288" t="e">
        <f>+'CE Min'!#REF!</f>
        <v>#REF!</v>
      </c>
      <c r="K9" s="288" t="e">
        <f>+'CE Min'!#REF!</f>
        <v>#REF!</v>
      </c>
      <c r="L9" s="288" t="e">
        <f>+'CE Min'!#REF!</f>
        <v>#REF!</v>
      </c>
    </row>
    <row r="10" spans="1:12" ht="25.5">
      <c r="A10" s="256" t="s">
        <v>2129</v>
      </c>
      <c r="B10" s="304">
        <f t="shared" si="0"/>
        <v>5</v>
      </c>
      <c r="C10" s="283" t="s">
        <v>206</v>
      </c>
      <c r="D10" s="288" t="e">
        <f>+'CE Min'!#REF!</f>
        <v>#REF!</v>
      </c>
      <c r="E10" s="288" t="e">
        <f>+'CE Min'!#REF!</f>
        <v>#REF!</v>
      </c>
      <c r="F10" s="288" t="e">
        <f>+'CE Min'!#REF!</f>
        <v>#REF!</v>
      </c>
      <c r="G10" s="288" t="e">
        <f>+'CE Min'!#REF!</f>
        <v>#REF!</v>
      </c>
      <c r="H10" s="288" t="e">
        <f>+'CE Min'!#REF!</f>
        <v>#REF!</v>
      </c>
      <c r="I10" s="288" t="e">
        <f>+'CE Min'!#REF!</f>
        <v>#REF!</v>
      </c>
      <c r="J10" s="288" t="e">
        <f>+'CE Min'!#REF!</f>
        <v>#REF!</v>
      </c>
      <c r="K10" s="288" t="e">
        <f>+'CE Min'!#REF!</f>
        <v>#REF!</v>
      </c>
      <c r="L10" s="288" t="e">
        <f>+'CE Min'!#REF!</f>
        <v>#REF!</v>
      </c>
    </row>
    <row r="11" spans="1:12" ht="25.5">
      <c r="A11" s="256" t="s">
        <v>2130</v>
      </c>
      <c r="B11" s="304">
        <f t="shared" si="0"/>
        <v>6</v>
      </c>
      <c r="C11" s="283" t="s">
        <v>2131</v>
      </c>
      <c r="D11" s="288" t="e">
        <f>+'CE Min'!#REF!-'ce art. 44'!D8-'ce art. 44'!D9+'CE Min'!#REF!+'CE Min'!#REF!</f>
        <v>#REF!</v>
      </c>
      <c r="E11" s="288" t="e">
        <f>+'CE Min'!#REF!-'ce art. 44'!E8-'ce art. 44'!E9+'CE Min'!#REF!+'CE Min'!#REF!</f>
        <v>#REF!</v>
      </c>
      <c r="F11" s="288" t="e">
        <f>+'CE Min'!#REF!-'ce art. 44'!F8-'ce art. 44'!F9+'CE Min'!#REF!+'CE Min'!#REF!</f>
        <v>#REF!</v>
      </c>
      <c r="G11" s="288" t="e">
        <f>+'CE Min'!#REF!-'ce art. 44'!G8-'ce art. 44'!G9+'CE Min'!#REF!+'CE Min'!#REF!</f>
        <v>#REF!</v>
      </c>
      <c r="H11" s="288" t="e">
        <f>+'CE Min'!#REF!-'ce art. 44'!H8-'ce art. 44'!H9+'CE Min'!#REF!+'CE Min'!#REF!</f>
        <v>#REF!</v>
      </c>
      <c r="I11" s="288" t="e">
        <f>+'CE Min'!#REF!-'ce art. 44'!I8-'ce art. 44'!I9+'CE Min'!#REF!+'CE Min'!#REF!</f>
        <v>#REF!</v>
      </c>
      <c r="J11" s="288" t="e">
        <f>+'CE Min'!#REF!-'ce art. 44'!J8-'ce art. 44'!J9+'CE Min'!#REF!+'CE Min'!#REF!</f>
        <v>#REF!</v>
      </c>
      <c r="K11" s="288" t="e">
        <f>+'CE Min'!#REF!-'ce art. 44'!K8-'ce art. 44'!K9+'CE Min'!#REF!+'CE Min'!#REF!</f>
        <v>#REF!</v>
      </c>
      <c r="L11" s="288" t="e">
        <f>+'CE Min'!#REF!-'ce art. 44'!L8-'ce art. 44'!L9+'CE Min'!#REF!+'CE Min'!#REF!</f>
        <v>#REF!</v>
      </c>
    </row>
    <row r="12" spans="1:12">
      <c r="A12" s="256" t="s">
        <v>2132</v>
      </c>
      <c r="B12" s="304">
        <f t="shared" si="0"/>
        <v>7</v>
      </c>
      <c r="C12" s="283" t="s">
        <v>422</v>
      </c>
      <c r="D12" s="288" t="e">
        <f>+'CE Min'!#REF!</f>
        <v>#REF!</v>
      </c>
      <c r="E12" s="288" t="e">
        <f>+'CE Min'!#REF!</f>
        <v>#REF!</v>
      </c>
      <c r="F12" s="288" t="e">
        <f>+'CE Min'!#REF!</f>
        <v>#REF!</v>
      </c>
      <c r="G12" s="288" t="e">
        <f>+'CE Min'!#REF!</f>
        <v>#REF!</v>
      </c>
      <c r="H12" s="288" t="e">
        <f>+'CE Min'!#REF!</f>
        <v>#REF!</v>
      </c>
      <c r="I12" s="288" t="e">
        <f>+'CE Min'!#REF!</f>
        <v>#REF!</v>
      </c>
      <c r="J12" s="288" t="e">
        <f>+'CE Min'!#REF!</f>
        <v>#REF!</v>
      </c>
      <c r="K12" s="288" t="e">
        <f>+'CE Min'!#REF!</f>
        <v>#REF!</v>
      </c>
      <c r="L12" s="288" t="e">
        <f>+'CE Min'!#REF!</f>
        <v>#REF!</v>
      </c>
    </row>
    <row r="13" spans="1:12">
      <c r="A13" s="256" t="s">
        <v>2133</v>
      </c>
      <c r="B13" s="304">
        <f t="shared" si="0"/>
        <v>8</v>
      </c>
      <c r="C13" s="284" t="s">
        <v>398</v>
      </c>
      <c r="D13" s="288" t="e">
        <f>+'CE Min'!#REF!</f>
        <v>#REF!</v>
      </c>
      <c r="E13" s="288" t="e">
        <f>+'CE Min'!#REF!</f>
        <v>#REF!</v>
      </c>
      <c r="F13" s="288" t="e">
        <f>+'CE Min'!#REF!</f>
        <v>#REF!</v>
      </c>
      <c r="G13" s="288" t="e">
        <f>+'CE Min'!#REF!</f>
        <v>#REF!</v>
      </c>
      <c r="H13" s="288" t="e">
        <f>+'CE Min'!#REF!</f>
        <v>#REF!</v>
      </c>
      <c r="I13" s="288" t="e">
        <f>+'CE Min'!#REF!</f>
        <v>#REF!</v>
      </c>
      <c r="J13" s="288" t="e">
        <f>+'CE Min'!#REF!</f>
        <v>#REF!</v>
      </c>
      <c r="K13" s="288" t="e">
        <f>+'CE Min'!#REF!</f>
        <v>#REF!</v>
      </c>
      <c r="L13" s="288" t="e">
        <f>+'CE Min'!#REF!</f>
        <v>#REF!</v>
      </c>
    </row>
    <row r="14" spans="1:12" ht="66.599999999999994" customHeight="1">
      <c r="A14" s="256" t="s">
        <v>2134</v>
      </c>
      <c r="B14" s="304">
        <f t="shared" si="0"/>
        <v>9</v>
      </c>
      <c r="C14" s="285" t="s">
        <v>2135</v>
      </c>
      <c r="D14" s="288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E14" s="288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F14" s="288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G14" s="288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H14" s="288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I14" s="288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J14" s="288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K14" s="288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L14" s="288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</row>
    <row r="15" spans="1:12" ht="25.5">
      <c r="A15" s="257" t="s">
        <v>2136</v>
      </c>
      <c r="B15" s="304">
        <f t="shared" si="0"/>
        <v>10</v>
      </c>
      <c r="C15" s="283" t="s">
        <v>204</v>
      </c>
      <c r="D15" s="288" t="e">
        <f>+'CE Min'!#REF!</f>
        <v>#REF!</v>
      </c>
      <c r="E15" s="288" t="e">
        <f>+'CE Min'!#REF!</f>
        <v>#REF!</v>
      </c>
      <c r="F15" s="288" t="e">
        <f>+'CE Min'!#REF!</f>
        <v>#REF!</v>
      </c>
      <c r="G15" s="288" t="e">
        <f>+'CE Min'!#REF!</f>
        <v>#REF!</v>
      </c>
      <c r="H15" s="288" t="e">
        <f>+'CE Min'!#REF!</f>
        <v>#REF!</v>
      </c>
      <c r="I15" s="288" t="e">
        <f>+'CE Min'!#REF!</f>
        <v>#REF!</v>
      </c>
      <c r="J15" s="288" t="e">
        <f>+'CE Min'!#REF!</f>
        <v>#REF!</v>
      </c>
      <c r="K15" s="288" t="e">
        <f>+'CE Min'!#REF!</f>
        <v>#REF!</v>
      </c>
      <c r="L15" s="288" t="e">
        <f>+'CE Min'!#REF!</f>
        <v>#REF!</v>
      </c>
    </row>
    <row r="16" spans="1:12">
      <c r="A16" s="256" t="s">
        <v>2137</v>
      </c>
      <c r="B16" s="304">
        <f t="shared" si="0"/>
        <v>11</v>
      </c>
      <c r="C16" s="283" t="s">
        <v>2138</v>
      </c>
      <c r="D16" s="288" t="e">
        <f>+'CE Min'!#REF!+'CE Min'!#REF!</f>
        <v>#REF!</v>
      </c>
      <c r="E16" s="288" t="e">
        <f>+'CE Min'!#REF!+'CE Min'!#REF!</f>
        <v>#REF!</v>
      </c>
      <c r="F16" s="288" t="e">
        <f>+'CE Min'!#REF!+'CE Min'!#REF!</f>
        <v>#REF!</v>
      </c>
      <c r="G16" s="288" t="e">
        <f>+'CE Min'!#REF!+'CE Min'!#REF!</f>
        <v>#REF!</v>
      </c>
      <c r="H16" s="288" t="e">
        <f>+'CE Min'!#REF!+'CE Min'!#REF!</f>
        <v>#REF!</v>
      </c>
      <c r="I16" s="288" t="e">
        <f>+'CE Min'!#REF!+'CE Min'!#REF!</f>
        <v>#REF!</v>
      </c>
      <c r="J16" s="288" t="e">
        <f>+'CE Min'!#REF!+'CE Min'!#REF!</f>
        <v>#REF!</v>
      </c>
      <c r="K16" s="288" t="e">
        <f>+'CE Min'!#REF!+'CE Min'!#REF!</f>
        <v>#REF!</v>
      </c>
      <c r="L16" s="288" t="e">
        <f>+'CE Min'!#REF!+'CE Min'!#REF!</f>
        <v>#REF!</v>
      </c>
    </row>
    <row r="17" spans="1:12">
      <c r="A17" s="258" t="s">
        <v>2139</v>
      </c>
      <c r="B17" s="304">
        <f>+B16+1</f>
        <v>12</v>
      </c>
      <c r="C17" s="285" t="s">
        <v>221</v>
      </c>
      <c r="D17" s="288" t="e">
        <f>+'CE Min'!#REF!</f>
        <v>#REF!</v>
      </c>
      <c r="E17" s="288" t="e">
        <f>+'CE Min'!#REF!</f>
        <v>#REF!</v>
      </c>
      <c r="F17" s="288" t="e">
        <f>+'CE Min'!#REF!</f>
        <v>#REF!</v>
      </c>
      <c r="G17" s="288" t="e">
        <f>+'CE Min'!#REF!</f>
        <v>#REF!</v>
      </c>
      <c r="H17" s="288" t="e">
        <f>+'CE Min'!#REF!</f>
        <v>#REF!</v>
      </c>
      <c r="I17" s="288" t="e">
        <f>+'CE Min'!#REF!</f>
        <v>#REF!</v>
      </c>
      <c r="J17" s="288" t="e">
        <f>+'CE Min'!#REF!</f>
        <v>#REF!</v>
      </c>
      <c r="K17" s="288" t="e">
        <f>+'CE Min'!#REF!</f>
        <v>#REF!</v>
      </c>
      <c r="L17" s="288" t="e">
        <f>+'CE Min'!#REF!</f>
        <v>#REF!</v>
      </c>
    </row>
    <row r="18" spans="1:12" ht="65.849999999999994" customHeight="1">
      <c r="A18" s="259" t="s">
        <v>2140</v>
      </c>
      <c r="B18" s="305">
        <f t="shared" si="0"/>
        <v>13</v>
      </c>
      <c r="C18" s="286" t="s">
        <v>2141</v>
      </c>
      <c r="D18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18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18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18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18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18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18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18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18" s="288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19" spans="1:12" ht="34.5" thickBot="1">
      <c r="A19" s="260" t="s">
        <v>2142</v>
      </c>
      <c r="B19" s="306" t="s">
        <v>2143</v>
      </c>
      <c r="C19" s="287"/>
      <c r="D19" s="288" t="e">
        <f>D6+D7+D8+D9+D10+D11+D12+D13+D14+D15+D16+D17+D18</f>
        <v>#REF!</v>
      </c>
      <c r="E19" s="288" t="e">
        <f t="shared" ref="E19:L19" si="1">E6+E7+E8+E9+E10+E11+E12+E13+E14+E15+E16+E17+E18</f>
        <v>#REF!</v>
      </c>
      <c r="F19" s="288" t="e">
        <f t="shared" si="1"/>
        <v>#REF!</v>
      </c>
      <c r="G19" s="288" t="e">
        <f t="shared" si="1"/>
        <v>#REF!</v>
      </c>
      <c r="H19" s="288" t="e">
        <f t="shared" si="1"/>
        <v>#REF!</v>
      </c>
      <c r="I19" s="288" t="e">
        <f t="shared" si="1"/>
        <v>#REF!</v>
      </c>
      <c r="J19" s="288" t="e">
        <f t="shared" si="1"/>
        <v>#REF!</v>
      </c>
      <c r="K19" s="288" t="e">
        <f t="shared" si="1"/>
        <v>#REF!</v>
      </c>
      <c r="L19" s="288" t="e">
        <f t="shared" si="1"/>
        <v>#REF!</v>
      </c>
    </row>
    <row r="20" spans="1:12" ht="13.5" thickTop="1">
      <c r="A20" s="261"/>
      <c r="B20" s="307"/>
      <c r="C20" s="262"/>
    </row>
    <row r="21" spans="1:12" ht="13.5" thickBot="1">
      <c r="A21" s="263"/>
      <c r="B21" s="308"/>
      <c r="C21" s="264"/>
    </row>
    <row r="22" spans="1:12" ht="23.85" customHeight="1" thickTop="1">
      <c r="A22" s="1059" t="s">
        <v>2144</v>
      </c>
      <c r="B22" s="300"/>
      <c r="C22" s="1064" t="s">
        <v>2121</v>
      </c>
      <c r="D22" s="1057" t="s">
        <v>2112</v>
      </c>
      <c r="E22" s="1057" t="s">
        <v>2113</v>
      </c>
      <c r="F22" s="1058" t="s">
        <v>2114</v>
      </c>
      <c r="G22" s="1058"/>
      <c r="H22" s="1057" t="s">
        <v>2108</v>
      </c>
      <c r="I22" s="1057" t="s">
        <v>2109</v>
      </c>
      <c r="J22" s="1057" t="s">
        <v>2110</v>
      </c>
      <c r="K22" s="1057" t="s">
        <v>2105</v>
      </c>
      <c r="L22" s="1057" t="s">
        <v>2106</v>
      </c>
    </row>
    <row r="23" spans="1:12" ht="29.1" customHeight="1">
      <c r="A23" s="1060"/>
      <c r="B23" s="301"/>
      <c r="C23" s="1065"/>
      <c r="D23" s="1057"/>
      <c r="E23" s="1057"/>
      <c r="F23" s="1057" t="s">
        <v>2115</v>
      </c>
      <c r="G23" s="1057" t="s">
        <v>2116</v>
      </c>
      <c r="H23" s="1057"/>
      <c r="I23" s="1057"/>
      <c r="J23" s="1057"/>
      <c r="K23" s="1057"/>
      <c r="L23" s="1057"/>
    </row>
    <row r="24" spans="1:12" ht="28.35" customHeight="1">
      <c r="A24" s="253" t="s">
        <v>2122</v>
      </c>
      <c r="B24" s="309"/>
      <c r="C24" s="1066"/>
      <c r="D24" s="1057"/>
      <c r="E24" s="1057"/>
      <c r="F24" s="1057"/>
      <c r="G24" s="1057"/>
      <c r="H24" s="1057"/>
      <c r="I24" s="1057"/>
      <c r="J24" s="1057"/>
      <c r="K24" s="1057"/>
      <c r="L24" s="1057"/>
    </row>
    <row r="25" spans="1:12" ht="22.5">
      <c r="A25" s="265" t="s">
        <v>2145</v>
      </c>
      <c r="B25" s="310" t="s">
        <v>2146</v>
      </c>
      <c r="C25" s="289"/>
      <c r="D25" s="288" t="e">
        <f>+D26+D27+D28+D29+D30</f>
        <v>#REF!</v>
      </c>
      <c r="E25" s="288" t="e">
        <f t="shared" ref="E25:L25" si="2">+E26+E27+E28+E29+E30</f>
        <v>#REF!</v>
      </c>
      <c r="F25" s="288" t="e">
        <f t="shared" si="2"/>
        <v>#REF!</v>
      </c>
      <c r="G25" s="288" t="e">
        <f t="shared" si="2"/>
        <v>#REF!</v>
      </c>
      <c r="H25" s="288" t="e">
        <f t="shared" si="2"/>
        <v>#REF!</v>
      </c>
      <c r="I25" s="288" t="e">
        <f t="shared" si="2"/>
        <v>#REF!</v>
      </c>
      <c r="J25" s="288" t="e">
        <f t="shared" si="2"/>
        <v>#REF!</v>
      </c>
      <c r="K25" s="288" t="e">
        <f t="shared" si="2"/>
        <v>#REF!</v>
      </c>
      <c r="L25" s="288" t="e">
        <f t="shared" si="2"/>
        <v>#REF!</v>
      </c>
    </row>
    <row r="26" spans="1:12">
      <c r="A26" s="266" t="s">
        <v>2147</v>
      </c>
      <c r="B26" s="267" t="s">
        <v>2148</v>
      </c>
      <c r="C26" s="290" t="s">
        <v>1100</v>
      </c>
      <c r="D26" s="288" t="e">
        <f>+'CE Min'!#REF!</f>
        <v>#REF!</v>
      </c>
      <c r="E26" s="288" t="e">
        <f>+'CE Min'!#REF!</f>
        <v>#REF!</v>
      </c>
      <c r="F26" s="288" t="e">
        <f>+'CE Min'!#REF!</f>
        <v>#REF!</v>
      </c>
      <c r="G26" s="288" t="e">
        <f>+'CE Min'!#REF!</f>
        <v>#REF!</v>
      </c>
      <c r="H26" s="288" t="e">
        <f>+'CE Min'!#REF!</f>
        <v>#REF!</v>
      </c>
      <c r="I26" s="288" t="e">
        <f>+'CE Min'!#REF!</f>
        <v>#REF!</v>
      </c>
      <c r="J26" s="288" t="e">
        <f>+'CE Min'!#REF!</f>
        <v>#REF!</v>
      </c>
      <c r="K26" s="288" t="e">
        <f>+'CE Min'!#REF!</f>
        <v>#REF!</v>
      </c>
      <c r="L26" s="288" t="e">
        <f>+'CE Min'!#REF!</f>
        <v>#REF!</v>
      </c>
    </row>
    <row r="27" spans="1:12">
      <c r="A27" s="266" t="s">
        <v>2149</v>
      </c>
      <c r="B27" s="267" t="s">
        <v>2150</v>
      </c>
      <c r="C27" s="290" t="s">
        <v>1152</v>
      </c>
      <c r="D27" s="288" t="e">
        <f>+'CE Min'!#REF!</f>
        <v>#REF!</v>
      </c>
      <c r="E27" s="288" t="e">
        <f>+'CE Min'!#REF!</f>
        <v>#REF!</v>
      </c>
      <c r="F27" s="288" t="e">
        <f>+'CE Min'!#REF!</f>
        <v>#REF!</v>
      </c>
      <c r="G27" s="288" t="e">
        <f>+'CE Min'!#REF!</f>
        <v>#REF!</v>
      </c>
      <c r="H27" s="288" t="e">
        <f>+'CE Min'!#REF!</f>
        <v>#REF!</v>
      </c>
      <c r="I27" s="288" t="e">
        <f>+'CE Min'!#REF!</f>
        <v>#REF!</v>
      </c>
      <c r="J27" s="288" t="e">
        <f>+'CE Min'!#REF!</f>
        <v>#REF!</v>
      </c>
      <c r="K27" s="288" t="e">
        <f>+'CE Min'!#REF!</f>
        <v>#REF!</v>
      </c>
      <c r="L27" s="288" t="e">
        <f>+'CE Min'!#REF!</f>
        <v>#REF!</v>
      </c>
    </row>
    <row r="28" spans="1:12">
      <c r="A28" s="266" t="s">
        <v>2151</v>
      </c>
      <c r="B28" s="267" t="s">
        <v>2152</v>
      </c>
      <c r="C28" s="290" t="s">
        <v>1171</v>
      </c>
      <c r="D28" s="288" t="e">
        <f>+'CE Min'!#REF!</f>
        <v>#REF!</v>
      </c>
      <c r="E28" s="288" t="e">
        <f>+'CE Min'!#REF!</f>
        <v>#REF!</v>
      </c>
      <c r="F28" s="288" t="e">
        <f>+'CE Min'!#REF!</f>
        <v>#REF!</v>
      </c>
      <c r="G28" s="288" t="e">
        <f>+'CE Min'!#REF!</f>
        <v>#REF!</v>
      </c>
      <c r="H28" s="288" t="e">
        <f>+'CE Min'!#REF!</f>
        <v>#REF!</v>
      </c>
      <c r="I28" s="288" t="e">
        <f>+'CE Min'!#REF!</f>
        <v>#REF!</v>
      </c>
      <c r="J28" s="288" t="e">
        <f>+'CE Min'!#REF!</f>
        <v>#REF!</v>
      </c>
      <c r="K28" s="288" t="e">
        <f>+'CE Min'!#REF!</f>
        <v>#REF!</v>
      </c>
      <c r="L28" s="288" t="e">
        <f>+'CE Min'!#REF!</f>
        <v>#REF!</v>
      </c>
    </row>
    <row r="29" spans="1:12">
      <c r="A29" s="266" t="s">
        <v>2153</v>
      </c>
      <c r="B29" s="267" t="s">
        <v>2154</v>
      </c>
      <c r="C29" s="290" t="s">
        <v>1190</v>
      </c>
      <c r="D29" s="288" t="e">
        <f>+'CE Min'!#REF!</f>
        <v>#REF!</v>
      </c>
      <c r="E29" s="288" t="e">
        <f>+'CE Min'!#REF!</f>
        <v>#REF!</v>
      </c>
      <c r="F29" s="288" t="e">
        <f>+'CE Min'!#REF!</f>
        <v>#REF!</v>
      </c>
      <c r="G29" s="288" t="e">
        <f>+'CE Min'!#REF!</f>
        <v>#REF!</v>
      </c>
      <c r="H29" s="288" t="e">
        <f>+'CE Min'!#REF!</f>
        <v>#REF!</v>
      </c>
      <c r="I29" s="288" t="e">
        <f>+'CE Min'!#REF!</f>
        <v>#REF!</v>
      </c>
      <c r="J29" s="288" t="e">
        <f>+'CE Min'!#REF!</f>
        <v>#REF!</v>
      </c>
      <c r="K29" s="288" t="e">
        <f>+'CE Min'!#REF!</f>
        <v>#REF!</v>
      </c>
      <c r="L29" s="288" t="e">
        <f>+'CE Min'!#REF!</f>
        <v>#REF!</v>
      </c>
    </row>
    <row r="30" spans="1:12">
      <c r="A30" s="268" t="s">
        <v>2155</v>
      </c>
      <c r="B30" s="267" t="s">
        <v>2156</v>
      </c>
      <c r="C30" s="290" t="s">
        <v>2157</v>
      </c>
      <c r="D30" s="288" t="e">
        <f>+'CE Min'!#REF!+'CE Min'!#REF!</f>
        <v>#REF!</v>
      </c>
      <c r="E30" s="288" t="e">
        <f>+'CE Min'!#REF!+'CE Min'!#REF!</f>
        <v>#REF!</v>
      </c>
      <c r="F30" s="288" t="e">
        <f>+'CE Min'!#REF!+'CE Min'!#REF!</f>
        <v>#REF!</v>
      </c>
      <c r="G30" s="288" t="e">
        <f>+'CE Min'!#REF!+'CE Min'!#REF!</f>
        <v>#REF!</v>
      </c>
      <c r="H30" s="288" t="e">
        <f>+'CE Min'!#REF!+'CE Min'!#REF!</f>
        <v>#REF!</v>
      </c>
      <c r="I30" s="288" t="e">
        <f>+'CE Min'!#REF!+'CE Min'!#REF!</f>
        <v>#REF!</v>
      </c>
      <c r="J30" s="288" t="e">
        <f>+'CE Min'!#REF!+'CE Min'!#REF!</f>
        <v>#REF!</v>
      </c>
      <c r="K30" s="288" t="e">
        <f>+'CE Min'!#REF!+'CE Min'!#REF!</f>
        <v>#REF!</v>
      </c>
      <c r="L30" s="288" t="e">
        <f>+'CE Min'!#REF!+'CE Min'!#REF!</f>
        <v>#REF!</v>
      </c>
    </row>
    <row r="31" spans="1:12">
      <c r="A31" s="269" t="s">
        <v>2158</v>
      </c>
      <c r="B31" s="311">
        <v>16</v>
      </c>
      <c r="C31" s="291" t="s">
        <v>1484</v>
      </c>
      <c r="D31" s="288" t="e">
        <f>+'CE Min'!#REF!</f>
        <v>#REF!</v>
      </c>
      <c r="E31" s="288" t="e">
        <f>+'CE Min'!#REF!</f>
        <v>#REF!</v>
      </c>
      <c r="F31" s="288" t="e">
        <f>+'CE Min'!#REF!</f>
        <v>#REF!</v>
      </c>
      <c r="G31" s="288" t="e">
        <f>+'CE Min'!#REF!</f>
        <v>#REF!</v>
      </c>
      <c r="H31" s="288" t="e">
        <f>+'CE Min'!#REF!</f>
        <v>#REF!</v>
      </c>
      <c r="I31" s="288" t="e">
        <f>+'CE Min'!#REF!</f>
        <v>#REF!</v>
      </c>
      <c r="J31" s="288" t="e">
        <f>+'CE Min'!#REF!</f>
        <v>#REF!</v>
      </c>
      <c r="K31" s="288" t="e">
        <f>+'CE Min'!#REF!</f>
        <v>#REF!</v>
      </c>
      <c r="L31" s="288" t="e">
        <f>+'CE Min'!#REF!</f>
        <v>#REF!</v>
      </c>
    </row>
    <row r="32" spans="1:12">
      <c r="A32" s="269" t="s">
        <v>2159</v>
      </c>
      <c r="B32" s="311" t="s">
        <v>2160</v>
      </c>
      <c r="C32" s="292"/>
      <c r="D32" s="288" t="e">
        <f>+D33+D34</f>
        <v>#REF!</v>
      </c>
      <c r="E32" s="288" t="e">
        <f t="shared" ref="E32:L32" si="3">+E33+E34</f>
        <v>#REF!</v>
      </c>
      <c r="F32" s="288" t="e">
        <f t="shared" si="3"/>
        <v>#REF!</v>
      </c>
      <c r="G32" s="288" t="e">
        <f t="shared" si="3"/>
        <v>#REF!</v>
      </c>
      <c r="H32" s="288" t="e">
        <f t="shared" si="3"/>
        <v>#REF!</v>
      </c>
      <c r="I32" s="288" t="e">
        <f t="shared" si="3"/>
        <v>#REF!</v>
      </c>
      <c r="J32" s="288" t="e">
        <f t="shared" si="3"/>
        <v>#REF!</v>
      </c>
      <c r="K32" s="288" t="e">
        <f t="shared" si="3"/>
        <v>#REF!</v>
      </c>
      <c r="L32" s="288" t="e">
        <f t="shared" si="3"/>
        <v>#REF!</v>
      </c>
    </row>
    <row r="33" spans="1:12" ht="30" customHeight="1">
      <c r="A33" s="270" t="s">
        <v>2161</v>
      </c>
      <c r="B33" s="271" t="s">
        <v>2162</v>
      </c>
      <c r="C33" s="290" t="s">
        <v>2163</v>
      </c>
      <c r="D33" s="288" t="e">
        <f>+'CE Min'!#REF!-'CE Min'!#REF!-'CE Min'!#REF!-'CE Min'!#REF!-'CE Min'!#REF!</f>
        <v>#REF!</v>
      </c>
      <c r="E33" s="288" t="e">
        <f>+'CE Min'!#REF!-'CE Min'!#REF!-'CE Min'!#REF!-'CE Min'!#REF!-'CE Min'!#REF!</f>
        <v>#REF!</v>
      </c>
      <c r="F33" s="288" t="e">
        <f>+'CE Min'!#REF!-'CE Min'!#REF!-'CE Min'!#REF!-'CE Min'!#REF!-'CE Min'!#REF!</f>
        <v>#REF!</v>
      </c>
      <c r="G33" s="288" t="e">
        <f>+'CE Min'!#REF!-'CE Min'!#REF!-'CE Min'!#REF!-'CE Min'!#REF!-'CE Min'!#REF!</f>
        <v>#REF!</v>
      </c>
      <c r="H33" s="288" t="e">
        <f>+'CE Min'!#REF!-'CE Min'!#REF!-'CE Min'!#REF!-'CE Min'!#REF!-'CE Min'!#REF!</f>
        <v>#REF!</v>
      </c>
      <c r="I33" s="288" t="e">
        <f>+'CE Min'!#REF!-'CE Min'!#REF!-'CE Min'!#REF!-'CE Min'!#REF!-'CE Min'!#REF!</f>
        <v>#REF!</v>
      </c>
      <c r="J33" s="288" t="e">
        <f>+'CE Min'!#REF!-'CE Min'!#REF!-'CE Min'!#REF!-'CE Min'!#REF!-'CE Min'!#REF!</f>
        <v>#REF!</v>
      </c>
      <c r="K33" s="288" t="e">
        <f>+'CE Min'!#REF!-'CE Min'!#REF!-'CE Min'!#REF!-'CE Min'!#REF!-'CE Min'!#REF!</f>
        <v>#REF!</v>
      </c>
      <c r="L33" s="288" t="e">
        <f>+'CE Min'!#REF!-'CE Min'!#REF!-'CE Min'!#REF!-'CE Min'!#REF!-'CE Min'!#REF!</f>
        <v>#REF!</v>
      </c>
    </row>
    <row r="34" spans="1:12">
      <c r="A34" s="270" t="s">
        <v>2164</v>
      </c>
      <c r="B34" s="271" t="s">
        <v>2165</v>
      </c>
      <c r="C34" s="291" t="s">
        <v>593</v>
      </c>
      <c r="D34" s="288" t="e">
        <f>+'CE Min'!#REF!</f>
        <v>#REF!</v>
      </c>
      <c r="E34" s="288" t="e">
        <f>+'CE Min'!#REF!</f>
        <v>#REF!</v>
      </c>
      <c r="F34" s="288" t="e">
        <f>+'CE Min'!#REF!</f>
        <v>#REF!</v>
      </c>
      <c r="G34" s="288" t="e">
        <f>+'CE Min'!#REF!</f>
        <v>#REF!</v>
      </c>
      <c r="H34" s="288" t="e">
        <f>+'CE Min'!#REF!</f>
        <v>#REF!</v>
      </c>
      <c r="I34" s="288" t="e">
        <f>+'CE Min'!#REF!</f>
        <v>#REF!</v>
      </c>
      <c r="J34" s="288" t="e">
        <f>+'CE Min'!#REF!</f>
        <v>#REF!</v>
      </c>
      <c r="K34" s="288" t="e">
        <f>+'CE Min'!#REF!</f>
        <v>#REF!</v>
      </c>
      <c r="L34" s="288" t="e">
        <f>+'CE Min'!#REF!</f>
        <v>#REF!</v>
      </c>
    </row>
    <row r="35" spans="1:12">
      <c r="A35" s="269" t="s">
        <v>2166</v>
      </c>
      <c r="B35" s="311" t="s">
        <v>2167</v>
      </c>
      <c r="C35" s="292"/>
      <c r="D35" s="288" t="e">
        <f>+D36+D37</f>
        <v>#REF!</v>
      </c>
      <c r="E35" s="288" t="e">
        <f t="shared" ref="E35:L35" si="4">+E36+E37</f>
        <v>#REF!</v>
      </c>
      <c r="F35" s="288" t="e">
        <f t="shared" si="4"/>
        <v>#REF!</v>
      </c>
      <c r="G35" s="288" t="e">
        <f t="shared" si="4"/>
        <v>#REF!</v>
      </c>
      <c r="H35" s="288" t="e">
        <f t="shared" si="4"/>
        <v>#REF!</v>
      </c>
      <c r="I35" s="288" t="e">
        <f t="shared" si="4"/>
        <v>#REF!</v>
      </c>
      <c r="J35" s="288" t="e">
        <f t="shared" si="4"/>
        <v>#REF!</v>
      </c>
      <c r="K35" s="288" t="e">
        <f t="shared" si="4"/>
        <v>#REF!</v>
      </c>
      <c r="L35" s="288" t="e">
        <f t="shared" si="4"/>
        <v>#REF!</v>
      </c>
    </row>
    <row r="36" spans="1:12">
      <c r="A36" s="270" t="s">
        <v>2168</v>
      </c>
      <c r="B36" s="271" t="s">
        <v>2169</v>
      </c>
      <c r="C36" s="291" t="s">
        <v>2170</v>
      </c>
      <c r="D36" s="288" t="e">
        <f>+'CE Min'!#REF!+'CE Min'!#REF!-'CE Min'!#REF!+'CE Min'!#REF!</f>
        <v>#REF!</v>
      </c>
      <c r="E36" s="288" t="e">
        <f>+'CE Min'!#REF!+'CE Min'!#REF!-'CE Min'!#REF!+'CE Min'!#REF!</f>
        <v>#REF!</v>
      </c>
      <c r="F36" s="288" t="e">
        <f>+'CE Min'!#REF!+'CE Min'!#REF!-'CE Min'!#REF!+'CE Min'!#REF!</f>
        <v>#REF!</v>
      </c>
      <c r="G36" s="288" t="e">
        <f>+'CE Min'!#REF!+'CE Min'!#REF!-'CE Min'!#REF!+'CE Min'!#REF!</f>
        <v>#REF!</v>
      </c>
      <c r="H36" s="288" t="e">
        <f>+'CE Min'!#REF!+'CE Min'!#REF!-'CE Min'!#REF!+'CE Min'!#REF!</f>
        <v>#REF!</v>
      </c>
      <c r="I36" s="288" t="e">
        <f>+'CE Min'!#REF!+'CE Min'!#REF!-'CE Min'!#REF!+'CE Min'!#REF!</f>
        <v>#REF!</v>
      </c>
      <c r="J36" s="288" t="e">
        <f>+'CE Min'!#REF!+'CE Min'!#REF!-'CE Min'!#REF!+'CE Min'!#REF!</f>
        <v>#REF!</v>
      </c>
      <c r="K36" s="288" t="e">
        <f>+'CE Min'!#REF!+'CE Min'!#REF!-'CE Min'!#REF!+'CE Min'!#REF!</f>
        <v>#REF!</v>
      </c>
      <c r="L36" s="288" t="e">
        <f>+'CE Min'!#REF!+'CE Min'!#REF!-'CE Min'!#REF!+'CE Min'!#REF!</f>
        <v>#REF!</v>
      </c>
    </row>
    <row r="37" spans="1:12" ht="33.6" customHeight="1">
      <c r="A37" s="270" t="s">
        <v>2171</v>
      </c>
      <c r="B37" s="271" t="s">
        <v>2172</v>
      </c>
      <c r="C37" s="290" t="s">
        <v>2173</v>
      </c>
      <c r="D37" s="288" t="e">
        <f>+'CE Min'!#REF!+'CE Min'!#REF!+'CE Min'!#REF!+'CE Min'!#REF!+'CE Min'!#REF!-'CE Min'!#REF!+'CE Min'!#REF!</f>
        <v>#REF!</v>
      </c>
      <c r="E37" s="288" t="e">
        <f>+'CE Min'!#REF!+'CE Min'!#REF!+'CE Min'!#REF!+'CE Min'!#REF!+'CE Min'!#REF!-'CE Min'!#REF!+'CE Min'!#REF!</f>
        <v>#REF!</v>
      </c>
      <c r="F37" s="288" t="e">
        <f>+'CE Min'!#REF!+'CE Min'!#REF!+'CE Min'!#REF!+'CE Min'!#REF!+'CE Min'!#REF!-'CE Min'!#REF!+'CE Min'!#REF!</f>
        <v>#REF!</v>
      </c>
      <c r="G37" s="288" t="e">
        <f>+'CE Min'!#REF!+'CE Min'!#REF!+'CE Min'!#REF!+'CE Min'!#REF!+'CE Min'!#REF!-'CE Min'!#REF!+'CE Min'!#REF!</f>
        <v>#REF!</v>
      </c>
      <c r="H37" s="288" t="e">
        <f>+'CE Min'!#REF!+'CE Min'!#REF!+'CE Min'!#REF!+'CE Min'!#REF!+'CE Min'!#REF!-'CE Min'!#REF!+'CE Min'!#REF!</f>
        <v>#REF!</v>
      </c>
      <c r="I37" s="288" t="e">
        <f>+'CE Min'!#REF!+'CE Min'!#REF!+'CE Min'!#REF!+'CE Min'!#REF!+'CE Min'!#REF!-'CE Min'!#REF!+'CE Min'!#REF!</f>
        <v>#REF!</v>
      </c>
      <c r="J37" s="288" t="e">
        <f>+'CE Min'!#REF!+'CE Min'!#REF!+'CE Min'!#REF!+'CE Min'!#REF!+'CE Min'!#REF!-'CE Min'!#REF!+'CE Min'!#REF!</f>
        <v>#REF!</v>
      </c>
      <c r="K37" s="288" t="e">
        <f>+'CE Min'!#REF!+'CE Min'!#REF!+'CE Min'!#REF!+'CE Min'!#REF!+'CE Min'!#REF!-'CE Min'!#REF!+'CE Min'!#REF!</f>
        <v>#REF!</v>
      </c>
      <c r="L37" s="288" t="e">
        <f>+'CE Min'!#REF!+'CE Min'!#REF!+'CE Min'!#REF!+'CE Min'!#REF!+'CE Min'!#REF!-'CE Min'!#REF!+'CE Min'!#REF!</f>
        <v>#REF!</v>
      </c>
    </row>
    <row r="38" spans="1:12" ht="22.5">
      <c r="A38" s="272" t="s">
        <v>2174</v>
      </c>
      <c r="B38" s="312" t="s">
        <v>2175</v>
      </c>
      <c r="C38" s="292"/>
      <c r="D38" s="288" t="e">
        <f>+D39+D40+D41+D42+D43+D44+D45</f>
        <v>#REF!</v>
      </c>
      <c r="E38" s="288" t="e">
        <f t="shared" ref="E38:L38" si="5">+E39+E40+E41+E42+E43+E44+E45</f>
        <v>#REF!</v>
      </c>
      <c r="F38" s="288" t="e">
        <f t="shared" si="5"/>
        <v>#REF!</v>
      </c>
      <c r="G38" s="288" t="e">
        <f t="shared" si="5"/>
        <v>#REF!</v>
      </c>
      <c r="H38" s="288" t="e">
        <f t="shared" si="5"/>
        <v>#REF!</v>
      </c>
      <c r="I38" s="288" t="e">
        <f t="shared" si="5"/>
        <v>#REF!</v>
      </c>
      <c r="J38" s="288" t="e">
        <f t="shared" si="5"/>
        <v>#REF!</v>
      </c>
      <c r="K38" s="288" t="e">
        <f t="shared" si="5"/>
        <v>#REF!</v>
      </c>
      <c r="L38" s="288" t="e">
        <f t="shared" si="5"/>
        <v>#REF!</v>
      </c>
    </row>
    <row r="39" spans="1:12">
      <c r="A39" s="273" t="s">
        <v>2176</v>
      </c>
      <c r="B39" s="271" t="s">
        <v>2177</v>
      </c>
      <c r="C39" s="291" t="s">
        <v>621</v>
      </c>
      <c r="D39" s="288" t="e">
        <f>+'CE Min'!#REF!</f>
        <v>#REF!</v>
      </c>
      <c r="E39" s="288" t="e">
        <f>+'CE Min'!#REF!</f>
        <v>#REF!</v>
      </c>
      <c r="F39" s="288" t="e">
        <f>+'CE Min'!#REF!</f>
        <v>#REF!</v>
      </c>
      <c r="G39" s="288" t="e">
        <f>+'CE Min'!#REF!</f>
        <v>#REF!</v>
      </c>
      <c r="H39" s="288" t="e">
        <f>+'CE Min'!#REF!</f>
        <v>#REF!</v>
      </c>
      <c r="I39" s="288" t="e">
        <f>+'CE Min'!#REF!</f>
        <v>#REF!</v>
      </c>
      <c r="J39" s="288" t="e">
        <f>+'CE Min'!#REF!</f>
        <v>#REF!</v>
      </c>
      <c r="K39" s="288" t="e">
        <f>+'CE Min'!#REF!</f>
        <v>#REF!</v>
      </c>
      <c r="L39" s="288" t="e">
        <f>+'CE Min'!#REF!</f>
        <v>#REF!</v>
      </c>
    </row>
    <row r="40" spans="1:12">
      <c r="A40" s="273" t="s">
        <v>2178</v>
      </c>
      <c r="B40" s="271" t="s">
        <v>2179</v>
      </c>
      <c r="C40" s="291" t="s">
        <v>2180</v>
      </c>
      <c r="D40" s="288" t="e">
        <f>+'CE Min'!#REF!</f>
        <v>#REF!</v>
      </c>
      <c r="E40" s="288" t="e">
        <f>+'CE Min'!#REF!</f>
        <v>#REF!</v>
      </c>
      <c r="F40" s="288" t="e">
        <f>+'CE Min'!#REF!</f>
        <v>#REF!</v>
      </c>
      <c r="G40" s="288" t="e">
        <f>+'CE Min'!#REF!</f>
        <v>#REF!</v>
      </c>
      <c r="H40" s="288" t="e">
        <f>+'CE Min'!#REF!</f>
        <v>#REF!</v>
      </c>
      <c r="I40" s="288" t="e">
        <f>+'CE Min'!#REF!</f>
        <v>#REF!</v>
      </c>
      <c r="J40" s="288" t="e">
        <f>+'CE Min'!#REF!</f>
        <v>#REF!</v>
      </c>
      <c r="K40" s="288" t="e">
        <f>+'CE Min'!#REF!</f>
        <v>#REF!</v>
      </c>
      <c r="L40" s="288" t="e">
        <f>+'CE Min'!#REF!</f>
        <v>#REF!</v>
      </c>
    </row>
    <row r="41" spans="1:12">
      <c r="A41" s="274" t="s">
        <v>2181</v>
      </c>
      <c r="B41" s="271" t="s">
        <v>2182</v>
      </c>
      <c r="C41" s="291" t="s">
        <v>2183</v>
      </c>
      <c r="D41" s="288" t="e">
        <f>+'CE Min'!#REF!</f>
        <v>#REF!</v>
      </c>
      <c r="E41" s="288" t="e">
        <f>+'CE Min'!#REF!</f>
        <v>#REF!</v>
      </c>
      <c r="F41" s="288" t="e">
        <f>+'CE Min'!#REF!</f>
        <v>#REF!</v>
      </c>
      <c r="G41" s="288" t="e">
        <f>+'CE Min'!#REF!</f>
        <v>#REF!</v>
      </c>
      <c r="H41" s="288" t="e">
        <f>+'CE Min'!#REF!</f>
        <v>#REF!</v>
      </c>
      <c r="I41" s="288" t="e">
        <f>+'CE Min'!#REF!</f>
        <v>#REF!</v>
      </c>
      <c r="J41" s="288" t="e">
        <f>+'CE Min'!#REF!</f>
        <v>#REF!</v>
      </c>
      <c r="K41" s="288" t="e">
        <f>+'CE Min'!#REF!</f>
        <v>#REF!</v>
      </c>
      <c r="L41" s="288" t="e">
        <f>+'CE Min'!#REF!</f>
        <v>#REF!</v>
      </c>
    </row>
    <row r="42" spans="1:12">
      <c r="A42" s="273" t="s">
        <v>2184</v>
      </c>
      <c r="B42" s="271" t="s">
        <v>2185</v>
      </c>
      <c r="C42" s="291" t="s">
        <v>2186</v>
      </c>
      <c r="D42" s="288" t="e">
        <f>+'CE Min'!#REF!+'CE Min'!#REF!</f>
        <v>#REF!</v>
      </c>
      <c r="E42" s="288" t="e">
        <f>+'CE Min'!#REF!+'CE Min'!#REF!</f>
        <v>#REF!</v>
      </c>
      <c r="F42" s="288" t="e">
        <f>+'CE Min'!#REF!+'CE Min'!#REF!</f>
        <v>#REF!</v>
      </c>
      <c r="G42" s="288" t="e">
        <f>+'CE Min'!#REF!+'CE Min'!#REF!</f>
        <v>#REF!</v>
      </c>
      <c r="H42" s="288" t="e">
        <f>+'CE Min'!#REF!+'CE Min'!#REF!</f>
        <v>#REF!</v>
      </c>
      <c r="I42" s="288" t="e">
        <f>+'CE Min'!#REF!+'CE Min'!#REF!</f>
        <v>#REF!</v>
      </c>
      <c r="J42" s="288" t="e">
        <f>+'CE Min'!#REF!+'CE Min'!#REF!</f>
        <v>#REF!</v>
      </c>
      <c r="K42" s="288" t="e">
        <f>+'CE Min'!#REF!+'CE Min'!#REF!</f>
        <v>#REF!</v>
      </c>
      <c r="L42" s="288" t="e">
        <f>+'CE Min'!#REF!+'CE Min'!#REF!</f>
        <v>#REF!</v>
      </c>
    </row>
    <row r="43" spans="1:12">
      <c r="A43" s="273" t="s">
        <v>2187</v>
      </c>
      <c r="B43" s="271" t="s">
        <v>2188</v>
      </c>
      <c r="C43" s="291" t="s">
        <v>2189</v>
      </c>
      <c r="D43" s="288" t="e">
        <f>+'CE Min'!#REF!+'CE Min'!#REF!</f>
        <v>#REF!</v>
      </c>
      <c r="E43" s="288" t="e">
        <f>+'CE Min'!#REF!+'CE Min'!#REF!</f>
        <v>#REF!</v>
      </c>
      <c r="F43" s="288" t="e">
        <f>+'CE Min'!#REF!+'CE Min'!#REF!</f>
        <v>#REF!</v>
      </c>
      <c r="G43" s="288" t="e">
        <f>+'CE Min'!#REF!+'CE Min'!#REF!</f>
        <v>#REF!</v>
      </c>
      <c r="H43" s="288" t="e">
        <f>+'CE Min'!#REF!+'CE Min'!#REF!</f>
        <v>#REF!</v>
      </c>
      <c r="I43" s="288" t="e">
        <f>+'CE Min'!#REF!+'CE Min'!#REF!</f>
        <v>#REF!</v>
      </c>
      <c r="J43" s="288" t="e">
        <f>+'CE Min'!#REF!+'CE Min'!#REF!</f>
        <v>#REF!</v>
      </c>
      <c r="K43" s="288" t="e">
        <f>+'CE Min'!#REF!+'CE Min'!#REF!</f>
        <v>#REF!</v>
      </c>
      <c r="L43" s="288" t="e">
        <f>+'CE Min'!#REF!+'CE Min'!#REF!</f>
        <v>#REF!</v>
      </c>
    </row>
    <row r="44" spans="1:12">
      <c r="A44" s="273" t="s">
        <v>2190</v>
      </c>
      <c r="B44" s="271" t="s">
        <v>2191</v>
      </c>
      <c r="C44" s="291" t="s">
        <v>2192</v>
      </c>
      <c r="D44" s="288" t="e">
        <f>+'CE Min'!#REF!+'CE Min'!#REF!</f>
        <v>#REF!</v>
      </c>
      <c r="E44" s="288" t="e">
        <f>+'CE Min'!#REF!+'CE Min'!#REF!</f>
        <v>#REF!</v>
      </c>
      <c r="F44" s="288" t="e">
        <f>+'CE Min'!#REF!+'CE Min'!#REF!</f>
        <v>#REF!</v>
      </c>
      <c r="G44" s="288" t="e">
        <f>+'CE Min'!#REF!+'CE Min'!#REF!</f>
        <v>#REF!</v>
      </c>
      <c r="H44" s="288" t="e">
        <f>+'CE Min'!#REF!+'CE Min'!#REF!</f>
        <v>#REF!</v>
      </c>
      <c r="I44" s="288" t="e">
        <f>+'CE Min'!#REF!+'CE Min'!#REF!</f>
        <v>#REF!</v>
      </c>
      <c r="J44" s="288" t="e">
        <f>+'CE Min'!#REF!+'CE Min'!#REF!</f>
        <v>#REF!</v>
      </c>
      <c r="K44" s="288" t="e">
        <f>+'CE Min'!#REF!+'CE Min'!#REF!</f>
        <v>#REF!</v>
      </c>
      <c r="L44" s="288" t="e">
        <f>+'CE Min'!#REF!+'CE Min'!#REF!</f>
        <v>#REF!</v>
      </c>
    </row>
    <row r="45" spans="1:12" ht="83.1" customHeight="1">
      <c r="A45" s="273" t="s">
        <v>2193</v>
      </c>
      <c r="B45" s="271" t="s">
        <v>2194</v>
      </c>
      <c r="C45" s="290" t="s">
        <v>2195</v>
      </c>
      <c r="D45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45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45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45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45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45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45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45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45" s="288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46" spans="1:12" ht="72" customHeight="1">
      <c r="A46" s="275" t="s">
        <v>2196</v>
      </c>
      <c r="B46" s="311">
        <v>20</v>
      </c>
      <c r="C46" s="290" t="s">
        <v>2197</v>
      </c>
      <c r="D46" s="288" t="e">
        <f>+'CE Min'!#REF!+'CE Min'!#REF!+'CE Min'!#REF!+'CE Min'!#REF!+'CE Min'!#REF!+'CE Min'!#REF!+'CE Min'!#REF!+'CE Min'!#REF!+'CE Min'!#REF!+'CE Min'!#REF!+'CE Min'!#REF!+'CE Min'!#REF!+'CE Min'!#REF!</f>
        <v>#REF!</v>
      </c>
      <c r="E46" s="288" t="e">
        <f>+'CE Min'!#REF!+'CE Min'!#REF!+'CE Min'!#REF!+'CE Min'!#REF!+'CE Min'!#REF!+'CE Min'!#REF!+'CE Min'!#REF!+'CE Min'!#REF!+'CE Min'!#REF!+'CE Min'!#REF!+'CE Min'!#REF!+'CE Min'!#REF!+'CE Min'!#REF!</f>
        <v>#REF!</v>
      </c>
      <c r="F46" s="288" t="e">
        <f>+'CE Min'!#REF!+'CE Min'!#REF!+'CE Min'!#REF!+'CE Min'!#REF!+'CE Min'!#REF!+'CE Min'!#REF!+'CE Min'!#REF!+'CE Min'!#REF!+'CE Min'!#REF!+'CE Min'!#REF!+'CE Min'!#REF!+'CE Min'!#REF!+'CE Min'!#REF!</f>
        <v>#REF!</v>
      </c>
      <c r="G46" s="288" t="e">
        <f>+'CE Min'!#REF!+'CE Min'!#REF!+'CE Min'!#REF!+'CE Min'!#REF!+'CE Min'!#REF!+'CE Min'!#REF!+'CE Min'!#REF!+'CE Min'!#REF!+'CE Min'!#REF!+'CE Min'!#REF!+'CE Min'!#REF!+'CE Min'!#REF!+'CE Min'!#REF!</f>
        <v>#REF!</v>
      </c>
      <c r="H46" s="288" t="e">
        <f>+'CE Min'!#REF!+'CE Min'!#REF!+'CE Min'!#REF!+'CE Min'!#REF!+'CE Min'!#REF!+'CE Min'!#REF!+'CE Min'!#REF!+'CE Min'!#REF!+'CE Min'!#REF!+'CE Min'!#REF!+'CE Min'!#REF!+'CE Min'!#REF!+'CE Min'!#REF!</f>
        <v>#REF!</v>
      </c>
      <c r="I46" s="288" t="e">
        <f>+'CE Min'!#REF!+'CE Min'!#REF!+'CE Min'!#REF!+'CE Min'!#REF!+'CE Min'!#REF!+'CE Min'!#REF!+'CE Min'!#REF!+'CE Min'!#REF!+'CE Min'!#REF!+'CE Min'!#REF!+'CE Min'!#REF!+'CE Min'!#REF!+'CE Min'!#REF!</f>
        <v>#REF!</v>
      </c>
      <c r="J46" s="288" t="e">
        <f>+'CE Min'!#REF!+'CE Min'!#REF!+'CE Min'!#REF!+'CE Min'!#REF!+'CE Min'!#REF!+'CE Min'!#REF!+'CE Min'!#REF!+'CE Min'!#REF!+'CE Min'!#REF!+'CE Min'!#REF!+'CE Min'!#REF!+'CE Min'!#REF!+'CE Min'!#REF!</f>
        <v>#REF!</v>
      </c>
      <c r="K46" s="288" t="e">
        <f>+'CE Min'!#REF!+'CE Min'!#REF!+'CE Min'!#REF!+'CE Min'!#REF!+'CE Min'!#REF!+'CE Min'!#REF!+'CE Min'!#REF!+'CE Min'!#REF!+'CE Min'!#REF!+'CE Min'!#REF!+'CE Min'!#REF!+'CE Min'!#REF!+'CE Min'!#REF!</f>
        <v>#REF!</v>
      </c>
      <c r="L46" s="288" t="e">
        <f>+'CE Min'!#REF!+'CE Min'!#REF!+'CE Min'!#REF!+'CE Min'!#REF!+'CE Min'!#REF!+'CE Min'!#REF!+'CE Min'!#REF!+'CE Min'!#REF!+'CE Min'!#REF!+'CE Min'!#REF!+'CE Min'!#REF!+'CE Min'!#REF!+'CE Min'!#REF!</f>
        <v>#REF!</v>
      </c>
    </row>
    <row r="47" spans="1:12">
      <c r="A47" s="272" t="s">
        <v>2198</v>
      </c>
      <c r="B47" s="311">
        <v>21</v>
      </c>
      <c r="C47" s="291" t="s">
        <v>1348</v>
      </c>
      <c r="D47" s="288" t="e">
        <f>+'CE Min'!#REF!</f>
        <v>#REF!</v>
      </c>
      <c r="E47" s="288" t="e">
        <f>+'CE Min'!#REF!</f>
        <v>#REF!</v>
      </c>
      <c r="F47" s="288" t="e">
        <f>+'CE Min'!#REF!</f>
        <v>#REF!</v>
      </c>
      <c r="G47" s="288" t="e">
        <f>+'CE Min'!#REF!</f>
        <v>#REF!</v>
      </c>
      <c r="H47" s="288" t="e">
        <f>+'CE Min'!#REF!</f>
        <v>#REF!</v>
      </c>
      <c r="I47" s="288" t="e">
        <f>+'CE Min'!#REF!</f>
        <v>#REF!</v>
      </c>
      <c r="J47" s="288" t="e">
        <f>+'CE Min'!#REF!</f>
        <v>#REF!</v>
      </c>
      <c r="K47" s="288" t="e">
        <f>+'CE Min'!#REF!</f>
        <v>#REF!</v>
      </c>
      <c r="L47" s="288" t="e">
        <f>+'CE Min'!#REF!</f>
        <v>#REF!</v>
      </c>
    </row>
    <row r="48" spans="1:12">
      <c r="A48" s="272" t="s">
        <v>2199</v>
      </c>
      <c r="B48" s="311">
        <v>22</v>
      </c>
      <c r="C48" s="293" t="s">
        <v>2200</v>
      </c>
      <c r="D48" s="288" t="e">
        <f>+'CE Min'!#REF!+'CE Min'!#REF!</f>
        <v>#REF!</v>
      </c>
      <c r="E48" s="288" t="e">
        <f>+'CE Min'!#REF!+'CE Min'!#REF!</f>
        <v>#REF!</v>
      </c>
      <c r="F48" s="288" t="e">
        <f>+'CE Min'!#REF!+'CE Min'!#REF!</f>
        <v>#REF!</v>
      </c>
      <c r="G48" s="288" t="e">
        <f>+'CE Min'!#REF!+'CE Min'!#REF!</f>
        <v>#REF!</v>
      </c>
      <c r="H48" s="288" t="e">
        <f>+'CE Min'!#REF!+'CE Min'!#REF!</f>
        <v>#REF!</v>
      </c>
      <c r="I48" s="288" t="e">
        <f>+'CE Min'!#REF!+'CE Min'!#REF!</f>
        <v>#REF!</v>
      </c>
      <c r="J48" s="288" t="e">
        <f>+'CE Min'!#REF!+'CE Min'!#REF!</f>
        <v>#REF!</v>
      </c>
      <c r="K48" s="288" t="e">
        <f>+'CE Min'!#REF!+'CE Min'!#REF!</f>
        <v>#REF!</v>
      </c>
      <c r="L48" s="288" t="e">
        <f>+'CE Min'!#REF!+'CE Min'!#REF!</f>
        <v>#REF!</v>
      </c>
    </row>
    <row r="49" spans="1:12">
      <c r="A49" s="272" t="s">
        <v>2201</v>
      </c>
      <c r="B49" s="311">
        <v>23</v>
      </c>
      <c r="C49" s="293" t="s">
        <v>2202</v>
      </c>
      <c r="D49" s="288" t="e">
        <f>+'CE Min'!#REF!+'CE Min'!#REF!+'CE Min'!#REF!</f>
        <v>#REF!</v>
      </c>
      <c r="E49" s="288" t="e">
        <f>+'CE Min'!#REF!+'CE Min'!#REF!+'CE Min'!#REF!</f>
        <v>#REF!</v>
      </c>
      <c r="F49" s="288" t="e">
        <f>+'CE Min'!#REF!+'CE Min'!#REF!+'CE Min'!#REF!</f>
        <v>#REF!</v>
      </c>
      <c r="G49" s="288" t="e">
        <f>+'CE Min'!#REF!+'CE Min'!#REF!+'CE Min'!#REF!</f>
        <v>#REF!</v>
      </c>
      <c r="H49" s="288" t="e">
        <f>+'CE Min'!#REF!+'CE Min'!#REF!+'CE Min'!#REF!</f>
        <v>#REF!</v>
      </c>
      <c r="I49" s="288" t="e">
        <f>+'CE Min'!#REF!+'CE Min'!#REF!+'CE Min'!#REF!</f>
        <v>#REF!</v>
      </c>
      <c r="J49" s="288" t="e">
        <f>+'CE Min'!#REF!+'CE Min'!#REF!+'CE Min'!#REF!</f>
        <v>#REF!</v>
      </c>
      <c r="K49" s="288" t="e">
        <f>+'CE Min'!#REF!+'CE Min'!#REF!+'CE Min'!#REF!</f>
        <v>#REF!</v>
      </c>
      <c r="L49" s="288" t="e">
        <f>+'CE Min'!#REF!+'CE Min'!#REF!+'CE Min'!#REF!</f>
        <v>#REF!</v>
      </c>
    </row>
    <row r="50" spans="1:12">
      <c r="A50" s="276" t="s">
        <v>2203</v>
      </c>
      <c r="B50" s="311">
        <v>24</v>
      </c>
      <c r="C50" s="294" t="s">
        <v>1934</v>
      </c>
      <c r="D50" s="288" t="e">
        <f>+'CE Min'!#REF!</f>
        <v>#REF!</v>
      </c>
      <c r="E50" s="288" t="e">
        <f>+'CE Min'!#REF!</f>
        <v>#REF!</v>
      </c>
      <c r="F50" s="288" t="e">
        <f>+'CE Min'!#REF!</f>
        <v>#REF!</v>
      </c>
      <c r="G50" s="288" t="e">
        <f>+'CE Min'!#REF!</f>
        <v>#REF!</v>
      </c>
      <c r="H50" s="288" t="e">
        <f>+'CE Min'!#REF!</f>
        <v>#REF!</v>
      </c>
      <c r="I50" s="288" t="e">
        <f>+'CE Min'!#REF!</f>
        <v>#REF!</v>
      </c>
      <c r="J50" s="288" t="e">
        <f>+'CE Min'!#REF!</f>
        <v>#REF!</v>
      </c>
      <c r="K50" s="288" t="e">
        <f>+'CE Min'!#REF!</f>
        <v>#REF!</v>
      </c>
      <c r="L50" s="288" t="e">
        <f>+'CE Min'!#REF!</f>
        <v>#REF!</v>
      </c>
    </row>
    <row r="51" spans="1:12" ht="83.85" customHeight="1">
      <c r="A51" s="277" t="s">
        <v>2204</v>
      </c>
      <c r="B51" s="311">
        <v>25</v>
      </c>
      <c r="C51" s="295" t="s">
        <v>2205</v>
      </c>
      <c r="D51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1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1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1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1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1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1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1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1" s="288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2" spans="1:12" ht="78" customHeight="1">
      <c r="A52" s="277" t="s">
        <v>2206</v>
      </c>
      <c r="B52" s="311">
        <v>26</v>
      </c>
      <c r="C52" s="295" t="s">
        <v>2207</v>
      </c>
      <c r="D52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2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2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2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2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2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2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2" s="288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2" s="288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3" spans="1:12" ht="21.6" customHeight="1">
      <c r="A53" s="272" t="s">
        <v>2208</v>
      </c>
      <c r="B53" s="311">
        <v>27</v>
      </c>
      <c r="C53" s="296" t="s">
        <v>2209</v>
      </c>
      <c r="D53" s="288" t="e">
        <f>-'CE Min'!#REF!+'CE Min'!#REF!+'CE Min'!#REF!</f>
        <v>#REF!</v>
      </c>
      <c r="E53" s="288" t="e">
        <f>-'CE Min'!#REF!+'CE Min'!#REF!+'CE Min'!#REF!</f>
        <v>#REF!</v>
      </c>
      <c r="F53" s="288" t="e">
        <f>-'CE Min'!#REF!+'CE Min'!#REF!+'CE Min'!#REF!</f>
        <v>#REF!</v>
      </c>
      <c r="G53" s="288" t="e">
        <f>-'CE Min'!#REF!+'CE Min'!#REF!+'CE Min'!#REF!</f>
        <v>#REF!</v>
      </c>
      <c r="H53" s="288" t="e">
        <f>-'CE Min'!#REF!+'CE Min'!#REF!+'CE Min'!#REF!</f>
        <v>#REF!</v>
      </c>
      <c r="I53" s="288" t="e">
        <f>-'CE Min'!#REF!+'CE Min'!#REF!+'CE Min'!#REF!</f>
        <v>#REF!</v>
      </c>
      <c r="J53" s="288" t="e">
        <f>-'CE Min'!#REF!+'CE Min'!#REF!+'CE Min'!#REF!</f>
        <v>#REF!</v>
      </c>
      <c r="K53" s="288" t="e">
        <f>-'CE Min'!#REF!+'CE Min'!#REF!+'CE Min'!#REF!</f>
        <v>#REF!</v>
      </c>
      <c r="L53" s="288" t="e">
        <f>-'CE Min'!#REF!+'CE Min'!#REF!+'CE Min'!#REF!</f>
        <v>#REF!</v>
      </c>
    </row>
    <row r="54" spans="1:12" ht="34.35" customHeight="1">
      <c r="A54" s="272" t="s">
        <v>2210</v>
      </c>
      <c r="B54" s="311">
        <v>28</v>
      </c>
      <c r="C54" s="297" t="s">
        <v>2211</v>
      </c>
      <c r="D54" s="288" t="e">
        <f>-'CE Min'!#REF!+'CE Min'!#REF!+'CE Min'!#REF!+'CE Min'!#REF!</f>
        <v>#REF!</v>
      </c>
      <c r="E54" s="288" t="e">
        <f>-'CE Min'!#REF!+'CE Min'!#REF!+'CE Min'!#REF!+'CE Min'!#REF!</f>
        <v>#REF!</v>
      </c>
      <c r="F54" s="288" t="e">
        <f>-'CE Min'!#REF!+'CE Min'!#REF!+'CE Min'!#REF!+'CE Min'!#REF!</f>
        <v>#REF!</v>
      </c>
      <c r="G54" s="288" t="e">
        <f>-'CE Min'!#REF!+'CE Min'!#REF!+'CE Min'!#REF!+'CE Min'!#REF!</f>
        <v>#REF!</v>
      </c>
      <c r="H54" s="288" t="e">
        <f>-'CE Min'!#REF!+'CE Min'!#REF!+'CE Min'!#REF!+'CE Min'!#REF!</f>
        <v>#REF!</v>
      </c>
      <c r="I54" s="288" t="e">
        <f>-'CE Min'!#REF!+'CE Min'!#REF!+'CE Min'!#REF!+'CE Min'!#REF!</f>
        <v>#REF!</v>
      </c>
      <c r="J54" s="288" t="e">
        <f>-'CE Min'!#REF!+'CE Min'!#REF!+'CE Min'!#REF!+'CE Min'!#REF!</f>
        <v>#REF!</v>
      </c>
      <c r="K54" s="288" t="e">
        <f>-'CE Min'!#REF!+'CE Min'!#REF!+'CE Min'!#REF!+'CE Min'!#REF!</f>
        <v>#REF!</v>
      </c>
      <c r="L54" s="288" t="e">
        <f>-'CE Min'!#REF!+'CE Min'!#REF!+'CE Min'!#REF!+'CE Min'!#REF!</f>
        <v>#REF!</v>
      </c>
    </row>
    <row r="55" spans="1:12" ht="66.599999999999994" customHeight="1">
      <c r="A55" s="278" t="s">
        <v>2212</v>
      </c>
      <c r="B55" s="313">
        <v>29</v>
      </c>
      <c r="C55" s="298" t="s">
        <v>2213</v>
      </c>
      <c r="D55" s="288" t="e">
        <f>-'CE Min'!#REF!-'CE Min'!#REF!-'CE Min'!#REF!-'CE Min'!#REF!-'CE Min'!#REF!+'CE Min'!#REF!+'CE Min'!#REF!+'CE Min'!#REF!+'CE Min'!#REF!+'CE Min'!#REF!</f>
        <v>#REF!</v>
      </c>
      <c r="E55" s="288" t="e">
        <f>-'CE Min'!#REF!-'CE Min'!#REF!-'CE Min'!#REF!-'CE Min'!#REF!-'CE Min'!#REF!+'CE Min'!#REF!+'CE Min'!#REF!+'CE Min'!#REF!+'CE Min'!#REF!+'CE Min'!#REF!</f>
        <v>#REF!</v>
      </c>
      <c r="F55" s="288" t="e">
        <f>-'CE Min'!#REF!-'CE Min'!#REF!-'CE Min'!#REF!-'CE Min'!#REF!-'CE Min'!#REF!+'CE Min'!#REF!+'CE Min'!#REF!+'CE Min'!#REF!+'CE Min'!#REF!+'CE Min'!#REF!</f>
        <v>#REF!</v>
      </c>
      <c r="G55" s="288" t="e">
        <f>-'CE Min'!#REF!-'CE Min'!#REF!-'CE Min'!#REF!-'CE Min'!#REF!-'CE Min'!#REF!+'CE Min'!#REF!+'CE Min'!#REF!+'CE Min'!#REF!+'CE Min'!#REF!+'CE Min'!#REF!</f>
        <v>#REF!</v>
      </c>
      <c r="H55" s="288" t="e">
        <f>-'CE Min'!#REF!-'CE Min'!#REF!-'CE Min'!#REF!-'CE Min'!#REF!-'CE Min'!#REF!+'CE Min'!#REF!+'CE Min'!#REF!+'CE Min'!#REF!+'CE Min'!#REF!+'CE Min'!#REF!</f>
        <v>#REF!</v>
      </c>
      <c r="I55" s="288" t="e">
        <f>-'CE Min'!#REF!-'CE Min'!#REF!-'CE Min'!#REF!-'CE Min'!#REF!-'CE Min'!#REF!+'CE Min'!#REF!+'CE Min'!#REF!+'CE Min'!#REF!+'CE Min'!#REF!+'CE Min'!#REF!</f>
        <v>#REF!</v>
      </c>
      <c r="J55" s="288" t="e">
        <f>-'CE Min'!#REF!-'CE Min'!#REF!-'CE Min'!#REF!-'CE Min'!#REF!-'CE Min'!#REF!+'CE Min'!#REF!+'CE Min'!#REF!+'CE Min'!#REF!+'CE Min'!#REF!+'CE Min'!#REF!</f>
        <v>#REF!</v>
      </c>
      <c r="K55" s="288" t="e">
        <f>-'CE Min'!#REF!-'CE Min'!#REF!-'CE Min'!#REF!-'CE Min'!#REF!-'CE Min'!#REF!+'CE Min'!#REF!+'CE Min'!#REF!+'CE Min'!#REF!+'CE Min'!#REF!+'CE Min'!#REF!</f>
        <v>#REF!</v>
      </c>
      <c r="L55" s="288" t="e">
        <f>-'CE Min'!#REF!-'CE Min'!#REF!-'CE Min'!#REF!-'CE Min'!#REF!-'CE Min'!#REF!+'CE Min'!#REF!+'CE Min'!#REF!+'CE Min'!#REF!+'CE Min'!#REF!+'CE Min'!#REF!</f>
        <v>#REF!</v>
      </c>
    </row>
    <row r="56" spans="1:12" ht="45.75" thickBot="1">
      <c r="A56" s="279" t="s">
        <v>2214</v>
      </c>
      <c r="B56" s="314" t="s">
        <v>2215</v>
      </c>
      <c r="C56" s="299"/>
      <c r="D56" s="299" t="e">
        <f>+D25+D31+D32+D35+D38+D46+D47+D48+D49+D50+D51+D52+D53+D54+D55</f>
        <v>#REF!</v>
      </c>
      <c r="E56" s="299" t="e">
        <f t="shared" ref="E56:L56" si="6">+E25+E31+E32+E35+E38+E46+E47+E48+E49+E50+E51+E52+E53+E54+E55</f>
        <v>#REF!</v>
      </c>
      <c r="F56" s="299" t="e">
        <f t="shared" si="6"/>
        <v>#REF!</v>
      </c>
      <c r="G56" s="299" t="e">
        <f t="shared" si="6"/>
        <v>#REF!</v>
      </c>
      <c r="H56" s="299" t="e">
        <f t="shared" si="6"/>
        <v>#REF!</v>
      </c>
      <c r="I56" s="299" t="e">
        <f t="shared" si="6"/>
        <v>#REF!</v>
      </c>
      <c r="J56" s="299" t="e">
        <f t="shared" si="6"/>
        <v>#REF!</v>
      </c>
      <c r="K56" s="299" t="e">
        <f t="shared" si="6"/>
        <v>#REF!</v>
      </c>
      <c r="L56" s="299" t="e">
        <f t="shared" si="6"/>
        <v>#REF!</v>
      </c>
    </row>
    <row r="57" spans="1:12" ht="14.25" thickTop="1" thickBot="1">
      <c r="A57" s="252"/>
      <c r="B57" s="315"/>
      <c r="C57" s="252"/>
    </row>
    <row r="58" spans="1:12" ht="19.5" thickTop="1" thickBot="1">
      <c r="A58" s="280" t="s">
        <v>2096</v>
      </c>
      <c r="B58" s="316" t="s">
        <v>2216</v>
      </c>
      <c r="C58" s="281"/>
      <c r="D58" s="281" t="e">
        <f>+D19-D56</f>
        <v>#REF!</v>
      </c>
      <c r="E58" s="281" t="e">
        <f t="shared" ref="E58:L58" si="7">+E19-E56</f>
        <v>#REF!</v>
      </c>
      <c r="F58" s="281" t="e">
        <f t="shared" si="7"/>
        <v>#REF!</v>
      </c>
      <c r="G58" s="281" t="e">
        <f t="shared" si="7"/>
        <v>#REF!</v>
      </c>
      <c r="H58" s="281" t="e">
        <f t="shared" si="7"/>
        <v>#REF!</v>
      </c>
      <c r="I58" s="281" t="e">
        <f t="shared" si="7"/>
        <v>#REF!</v>
      </c>
      <c r="J58" s="281" t="e">
        <f t="shared" si="7"/>
        <v>#REF!</v>
      </c>
      <c r="K58" s="281" t="e">
        <f t="shared" si="7"/>
        <v>#REF!</v>
      </c>
      <c r="L58" s="281" t="e">
        <f t="shared" si="7"/>
        <v>#REF!</v>
      </c>
    </row>
    <row r="59" spans="1:12" ht="13.5" thickTop="1"/>
  </sheetData>
  <mergeCells count="25">
    <mergeCell ref="L22:L24"/>
    <mergeCell ref="F23:F24"/>
    <mergeCell ref="G23:G24"/>
    <mergeCell ref="A3:A4"/>
    <mergeCell ref="A22:A23"/>
    <mergeCell ref="F3:G3"/>
    <mergeCell ref="D3:D5"/>
    <mergeCell ref="E3:E5"/>
    <mergeCell ref="F4:F5"/>
    <mergeCell ref="G4:G5"/>
    <mergeCell ref="C3:C5"/>
    <mergeCell ref="C22:C24"/>
    <mergeCell ref="L3:L5"/>
    <mergeCell ref="A1:K1"/>
    <mergeCell ref="D22:D24"/>
    <mergeCell ref="E22:E24"/>
    <mergeCell ref="F22:G22"/>
    <mergeCell ref="H22:H24"/>
    <mergeCell ref="I22:I24"/>
    <mergeCell ref="J22:J24"/>
    <mergeCell ref="K22:K24"/>
    <mergeCell ref="H3:H5"/>
    <mergeCell ref="I3:I5"/>
    <mergeCell ref="J3:J5"/>
    <mergeCell ref="K3:K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650"/>
  <sheetViews>
    <sheetView showGridLines="0" tabSelected="1" topLeftCell="A457" zoomScale="80" zoomScaleNormal="80" workbookViewId="0">
      <selection activeCell="D479" sqref="D479"/>
    </sheetView>
  </sheetViews>
  <sheetFormatPr defaultColWidth="16.5703125" defaultRowHeight="12.75"/>
  <cols>
    <col min="1" max="1" width="8.5703125" customWidth="1"/>
    <col min="3" max="3" width="52" customWidth="1"/>
    <col min="4" max="4" width="26.140625" customWidth="1"/>
    <col min="5" max="5" width="26.85546875" customWidth="1"/>
    <col min="6" max="6" width="21.140625" customWidth="1"/>
    <col min="7" max="7" width="6.5703125" customWidth="1"/>
    <col min="8" max="8" width="5" customWidth="1"/>
    <col min="9" max="9" width="4.5703125" customWidth="1"/>
    <col min="10" max="11" width="5.140625" customWidth="1"/>
    <col min="12" max="12" width="6.5703125" customWidth="1"/>
    <col min="13" max="13" width="8.5703125" hidden="1" customWidth="1"/>
    <col min="14" max="14" width="2.5703125" customWidth="1"/>
    <col min="15" max="15" width="1.42578125" customWidth="1"/>
    <col min="16" max="16" width="16.5703125" hidden="1" customWidth="1"/>
    <col min="17" max="18" width="3.85546875" customWidth="1"/>
    <col min="19" max="19" width="3" customWidth="1"/>
    <col min="20" max="20" width="3.140625" customWidth="1"/>
    <col min="21" max="21" width="4" customWidth="1"/>
    <col min="22" max="22" width="2.42578125" customWidth="1"/>
    <col min="23" max="23" width="3" customWidth="1"/>
    <col min="24" max="24" width="3.85546875" customWidth="1"/>
    <col min="25" max="25" width="2.5703125" customWidth="1"/>
    <col min="26" max="26" width="4" customWidth="1"/>
    <col min="27" max="27" width="2.5703125" customWidth="1"/>
    <col min="28" max="28" width="3.85546875" customWidth="1"/>
    <col min="29" max="29" width="3.42578125" customWidth="1"/>
  </cols>
  <sheetData>
    <row r="1" spans="1:31" s="62" customFormat="1" ht="15" customHeight="1">
      <c r="A1" s="59" t="s">
        <v>1500</v>
      </c>
      <c r="B1" s="60"/>
      <c r="C1" s="61"/>
      <c r="D1" s="61"/>
      <c r="E1" s="61"/>
      <c r="F1" s="375"/>
      <c r="G1" s="375"/>
      <c r="Z1" s="63" t="s">
        <v>1501</v>
      </c>
      <c r="AA1" s="64"/>
      <c r="AB1" s="64"/>
      <c r="AC1" s="65"/>
      <c r="AD1" s="66"/>
    </row>
    <row r="2" spans="1:31" s="62" customFormat="1" ht="15.95" customHeight="1" thickBot="1">
      <c r="A2" s="60"/>
      <c r="B2" s="60"/>
      <c r="C2" s="61"/>
      <c r="D2" s="61"/>
      <c r="E2" s="61"/>
      <c r="F2" s="375"/>
      <c r="G2" s="375"/>
      <c r="Z2" s="67"/>
      <c r="AA2" s="68"/>
      <c r="AB2" s="68"/>
      <c r="AC2" s="69"/>
      <c r="AD2" s="66"/>
    </row>
    <row r="3" spans="1:31" s="62" customFormat="1" ht="18">
      <c r="A3" s="70" t="s">
        <v>1502</v>
      </c>
      <c r="B3" s="60"/>
      <c r="C3" s="61"/>
      <c r="D3" s="61"/>
      <c r="E3" s="61"/>
      <c r="F3" s="375"/>
      <c r="G3" s="375"/>
      <c r="AD3" s="66"/>
    </row>
    <row r="4" spans="1:31" s="62" customFormat="1" ht="18">
      <c r="A4" s="70" t="s">
        <v>1503</v>
      </c>
      <c r="B4" s="60"/>
      <c r="C4" s="61"/>
      <c r="D4" s="61"/>
      <c r="E4" s="61"/>
      <c r="F4" s="375"/>
      <c r="G4" s="375"/>
      <c r="AD4" s="66"/>
    </row>
    <row r="5" spans="1:31" s="62" customFormat="1" ht="18">
      <c r="A5" s="60"/>
      <c r="B5" s="60"/>
      <c r="C5" s="61"/>
      <c r="D5" s="61"/>
      <c r="E5" s="61"/>
      <c r="F5" s="375"/>
      <c r="G5" s="375"/>
      <c r="AD5" s="66"/>
    </row>
    <row r="6" spans="1:31" s="62" customFormat="1" ht="76.5" customHeight="1">
      <c r="A6" s="71" t="s">
        <v>1504</v>
      </c>
      <c r="B6" s="60"/>
      <c r="C6" s="72"/>
      <c r="D6" s="72"/>
      <c r="E6" s="72"/>
      <c r="F6" s="376"/>
      <c r="G6" s="376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4"/>
      <c r="AE6" s="75"/>
    </row>
    <row r="7" spans="1:31" s="62" customFormat="1" ht="21" customHeight="1" thickBot="1">
      <c r="A7" s="76"/>
      <c r="B7" s="77"/>
      <c r="C7" s="77"/>
      <c r="D7" s="77"/>
      <c r="E7" s="77"/>
      <c r="F7" s="78"/>
      <c r="G7" s="78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4"/>
      <c r="AE7" s="75"/>
    </row>
    <row r="8" spans="1:31" s="62" customFormat="1" ht="18.75" thickBot="1">
      <c r="A8" s="79" t="s">
        <v>1505</v>
      </c>
      <c r="B8" s="80"/>
      <c r="C8" s="377"/>
      <c r="D8" s="377"/>
      <c r="E8" s="377"/>
      <c r="F8" s="222"/>
      <c r="G8" s="222"/>
      <c r="H8" s="222"/>
      <c r="I8" s="222"/>
      <c r="J8" s="222"/>
      <c r="K8" s="222"/>
      <c r="L8" s="81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81"/>
      <c r="AD8" s="74"/>
      <c r="AE8" s="75"/>
    </row>
    <row r="9" spans="1:31" s="62" customFormat="1" ht="18">
      <c r="A9" s="82"/>
      <c r="B9" s="83"/>
      <c r="C9" s="378"/>
      <c r="D9" s="378"/>
      <c r="E9" s="378"/>
      <c r="F9" s="84"/>
      <c r="G9" s="84"/>
      <c r="H9" s="84"/>
      <c r="I9" s="84"/>
      <c r="J9" s="84"/>
      <c r="K9" s="84"/>
      <c r="L9" s="85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5"/>
      <c r="AD9" s="74"/>
      <c r="AE9" s="75"/>
    </row>
    <row r="10" spans="1:31" s="62" customFormat="1" ht="18">
      <c r="A10" s="86" t="s">
        <v>1506</v>
      </c>
      <c r="B10" s="379">
        <v>60</v>
      </c>
      <c r="C10" s="380" t="s">
        <v>3462</v>
      </c>
      <c r="D10" s="381"/>
      <c r="E10" s="381"/>
      <c r="F10" s="76" t="s">
        <v>3191</v>
      </c>
      <c r="G10" s="76"/>
      <c r="H10" s="87"/>
      <c r="I10" s="87">
        <v>9</v>
      </c>
      <c r="J10" s="87">
        <v>0</v>
      </c>
      <c r="K10" s="87">
        <v>1</v>
      </c>
      <c r="L10" s="88"/>
      <c r="M10" s="89"/>
      <c r="N10" s="89"/>
      <c r="O10" s="89"/>
      <c r="P10" s="89"/>
      <c r="Q10" s="76"/>
      <c r="R10" s="76"/>
      <c r="S10" s="87">
        <v>2</v>
      </c>
      <c r="T10" s="87">
        <v>0</v>
      </c>
      <c r="U10" s="87">
        <v>2</v>
      </c>
      <c r="V10" s="87">
        <v>5</v>
      </c>
      <c r="W10" s="76"/>
      <c r="X10" s="76"/>
      <c r="Y10" s="76"/>
      <c r="Z10" s="76"/>
      <c r="AA10" s="76"/>
      <c r="AB10" s="76"/>
      <c r="AC10" s="88"/>
      <c r="AD10" s="74"/>
      <c r="AE10" s="75"/>
    </row>
    <row r="11" spans="1:31" s="62" customFormat="1" ht="18">
      <c r="A11" s="86"/>
      <c r="B11" s="77"/>
      <c r="C11" s="381"/>
      <c r="D11" s="381"/>
      <c r="E11" s="381"/>
      <c r="F11" s="76"/>
      <c r="G11" s="76"/>
      <c r="H11" s="76"/>
      <c r="I11" s="76"/>
      <c r="J11" s="76"/>
      <c r="K11" s="76"/>
      <c r="L11" s="88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88"/>
      <c r="AD11" s="74"/>
      <c r="AE11" s="75"/>
    </row>
    <row r="12" spans="1:31" s="62" customFormat="1" ht="18">
      <c r="A12" s="86"/>
      <c r="B12" s="77"/>
      <c r="C12" s="381"/>
      <c r="D12" s="381"/>
      <c r="E12" s="381"/>
      <c r="F12" s="76"/>
      <c r="G12" s="76"/>
      <c r="H12" s="76"/>
      <c r="I12" s="76"/>
      <c r="J12" s="76"/>
      <c r="K12" s="76"/>
      <c r="L12" s="88"/>
      <c r="M12" s="89"/>
      <c r="N12" s="89"/>
      <c r="O12" s="89"/>
      <c r="P12" s="89"/>
      <c r="Q12" s="89"/>
      <c r="R12" s="76">
        <v>1</v>
      </c>
      <c r="S12" s="87"/>
      <c r="T12" s="76">
        <v>2</v>
      </c>
      <c r="U12" s="87"/>
      <c r="V12" s="76">
        <v>3</v>
      </c>
      <c r="W12" s="87"/>
      <c r="X12" s="76">
        <v>4</v>
      </c>
      <c r="Y12" s="87"/>
      <c r="AC12" s="88"/>
      <c r="AD12" s="74"/>
      <c r="AE12" s="75"/>
    </row>
    <row r="13" spans="1:31" s="62" customFormat="1" ht="18">
      <c r="A13" s="86"/>
      <c r="B13" s="77"/>
      <c r="C13" s="381"/>
      <c r="D13" s="381"/>
      <c r="E13" s="381"/>
      <c r="F13" s="76"/>
      <c r="G13" s="76"/>
      <c r="H13" s="76"/>
      <c r="I13" s="76"/>
      <c r="J13" s="76"/>
      <c r="K13" s="76"/>
      <c r="L13" s="88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88"/>
      <c r="AD13" s="74"/>
      <c r="AE13" s="75"/>
    </row>
    <row r="14" spans="1:31" s="62" customFormat="1" ht="18">
      <c r="A14" s="86"/>
      <c r="B14" s="77"/>
      <c r="C14" s="381"/>
      <c r="D14" s="381"/>
      <c r="E14" s="381"/>
      <c r="F14" s="76"/>
      <c r="G14" s="76"/>
      <c r="H14" s="76"/>
      <c r="I14" s="76"/>
      <c r="J14" s="76"/>
      <c r="K14" s="76"/>
      <c r="L14" s="88"/>
      <c r="M14" s="89"/>
      <c r="N14" s="89"/>
      <c r="O14" s="89"/>
      <c r="P14" s="89"/>
      <c r="Q14" s="89"/>
      <c r="R14" s="76"/>
      <c r="S14" s="87"/>
      <c r="T14" s="76"/>
      <c r="U14" s="76"/>
      <c r="V14" s="76"/>
      <c r="W14" s="89"/>
      <c r="X14" s="89"/>
      <c r="Y14" s="89"/>
      <c r="Z14" s="90" t="s">
        <v>1507</v>
      </c>
      <c r="AA14" s="76"/>
      <c r="AB14" s="87" t="s">
        <v>4869</v>
      </c>
      <c r="AC14" s="88"/>
      <c r="AD14" s="74"/>
      <c r="AE14" s="75"/>
    </row>
    <row r="15" spans="1:31" s="62" customFormat="1" ht="18.75" thickBot="1">
      <c r="A15" s="91"/>
      <c r="B15" s="92"/>
      <c r="C15" s="382"/>
      <c r="D15" s="382"/>
      <c r="E15" s="382"/>
      <c r="F15" s="93"/>
      <c r="G15" s="93"/>
      <c r="H15" s="93"/>
      <c r="I15" s="93"/>
      <c r="J15" s="93"/>
      <c r="K15" s="93"/>
      <c r="L15" s="94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4"/>
      <c r="AD15" s="74"/>
      <c r="AE15" s="75"/>
    </row>
    <row r="16" spans="1:31" s="62" customFormat="1" ht="18">
      <c r="B16" s="77"/>
      <c r="C16" s="77"/>
      <c r="D16" s="77"/>
      <c r="E16" s="77"/>
      <c r="F16" s="381"/>
      <c r="G16" s="381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4"/>
      <c r="AE16" s="75"/>
    </row>
    <row r="17" spans="1:31" s="62" customFormat="1" ht="18.75" thickBot="1">
      <c r="B17" s="77"/>
      <c r="C17" s="77"/>
      <c r="D17" s="77"/>
      <c r="E17" s="77"/>
      <c r="F17" s="381"/>
      <c r="G17" s="381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4"/>
      <c r="AE17" s="75"/>
    </row>
    <row r="18" spans="1:31" s="62" customFormat="1" ht="15.95" customHeight="1" thickBot="1">
      <c r="A18" s="987" t="s">
        <v>1508</v>
      </c>
      <c r="B18" s="988"/>
      <c r="C18" s="988"/>
      <c r="D18" s="988"/>
      <c r="E18" s="988"/>
      <c r="F18" s="988"/>
      <c r="G18" s="988"/>
      <c r="H18" s="988"/>
      <c r="I18" s="988"/>
      <c r="J18" s="988"/>
      <c r="K18" s="988"/>
      <c r="L18" s="988"/>
      <c r="M18" s="988"/>
      <c r="N18" s="988"/>
      <c r="O18" s="988"/>
      <c r="P18" s="988"/>
      <c r="Q18" s="988"/>
      <c r="R18" s="988"/>
      <c r="S18" s="988"/>
      <c r="T18" s="988"/>
      <c r="U18" s="988"/>
      <c r="V18" s="988"/>
      <c r="W18" s="988"/>
      <c r="X18" s="988"/>
      <c r="Y18" s="988"/>
      <c r="Z18" s="988"/>
      <c r="AA18" s="988"/>
      <c r="AB18" s="988"/>
      <c r="AC18" s="989"/>
      <c r="AD18" s="74"/>
      <c r="AE18" s="75"/>
    </row>
    <row r="19" spans="1:31" s="62" customFormat="1" ht="18">
      <c r="A19" s="95"/>
      <c r="B19" s="96"/>
      <c r="C19" s="96"/>
      <c r="D19" s="96"/>
      <c r="E19" s="96"/>
      <c r="F19" s="383"/>
      <c r="G19" s="383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354"/>
      <c r="AD19" s="74"/>
      <c r="AE19" s="75"/>
    </row>
    <row r="20" spans="1:31" s="62" customFormat="1" ht="15">
      <c r="A20" s="98"/>
      <c r="B20" s="77"/>
      <c r="C20" s="77"/>
      <c r="D20" s="77"/>
      <c r="E20" s="77"/>
      <c r="F20" s="90" t="s">
        <v>4885</v>
      </c>
      <c r="G20" s="87"/>
      <c r="H20" s="76"/>
      <c r="I20" s="76"/>
      <c r="J20" s="90"/>
      <c r="K20" s="90" t="s">
        <v>3192</v>
      </c>
      <c r="L20" s="87"/>
      <c r="M20" s="87"/>
      <c r="N20" s="75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88"/>
      <c r="AD20" s="74"/>
      <c r="AE20" s="75"/>
    </row>
    <row r="21" spans="1:31" s="62" customFormat="1" ht="18.75" thickBot="1">
      <c r="A21" s="99"/>
      <c r="B21" s="92"/>
      <c r="C21" s="92"/>
      <c r="D21" s="92"/>
      <c r="E21" s="92"/>
      <c r="F21" s="382"/>
      <c r="G21" s="382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4"/>
      <c r="AD21" s="74"/>
      <c r="AE21" s="75"/>
    </row>
    <row r="22" spans="1:31" s="62" customFormat="1" ht="18">
      <c r="A22" s="76"/>
      <c r="B22" s="77"/>
      <c r="C22" s="77"/>
      <c r="D22" s="77"/>
      <c r="E22" s="77"/>
      <c r="F22" s="381"/>
      <c r="G22" s="381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4"/>
      <c r="AE22" s="75"/>
    </row>
    <row r="23" spans="1:31" s="384" customFormat="1" ht="22.5" customHeight="1" thickBot="1">
      <c r="A23" s="100"/>
      <c r="B23" s="101"/>
      <c r="C23" s="101"/>
      <c r="D23" s="990" t="s">
        <v>3459</v>
      </c>
      <c r="E23" s="990"/>
      <c r="G23" s="381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Z23" s="385"/>
      <c r="AA23" s="385"/>
      <c r="AB23" s="385"/>
      <c r="AC23" s="385"/>
      <c r="AD23" s="386"/>
      <c r="AE23" s="102"/>
    </row>
    <row r="24" spans="1:31" s="250" customFormat="1" ht="66" customHeight="1" thickBot="1">
      <c r="A24" s="212" t="s">
        <v>1509</v>
      </c>
      <c r="B24" s="103" t="s">
        <v>1510</v>
      </c>
      <c r="C24" s="317" t="s">
        <v>1511</v>
      </c>
      <c r="D24" s="248" t="s">
        <v>4867</v>
      </c>
      <c r="E24" s="248" t="s">
        <v>3522</v>
      </c>
      <c r="F24" s="105"/>
      <c r="G24" s="249"/>
      <c r="H24" s="104"/>
      <c r="I24" s="104"/>
      <c r="J24" s="104"/>
      <c r="K24" s="104"/>
      <c r="L24" s="104"/>
      <c r="M24" s="104"/>
      <c r="N24"/>
      <c r="O24"/>
      <c r="P24"/>
      <c r="Q24"/>
      <c r="R24"/>
      <c r="S24"/>
      <c r="T24"/>
      <c r="U24"/>
      <c r="V24"/>
      <c r="W24"/>
      <c r="X24"/>
      <c r="Y24" s="105"/>
      <c r="Z24" s="105"/>
      <c r="AB24" s="251"/>
    </row>
    <row r="25" spans="1:31" ht="18.75">
      <c r="A25" s="213"/>
      <c r="B25" s="135"/>
      <c r="C25" s="136" t="s">
        <v>2111</v>
      </c>
      <c r="D25" s="137"/>
      <c r="E25" s="137"/>
      <c r="F25" s="74"/>
      <c r="G25" s="223"/>
    </row>
    <row r="26" spans="1:31" ht="18.75">
      <c r="A26" s="214"/>
      <c r="B26" s="138" t="s">
        <v>1512</v>
      </c>
      <c r="C26" s="139" t="s">
        <v>1513</v>
      </c>
      <c r="D26" s="140">
        <f t="shared" ref="D26" si="0">(D27+D36+D51+D56)</f>
        <v>52156319.149999999</v>
      </c>
      <c r="E26" s="140">
        <f t="shared" ref="E26" si="1">(E27+E36+E51+E56)</f>
        <v>48431362.940000005</v>
      </c>
      <c r="F26" s="74" t="s">
        <v>2117</v>
      </c>
      <c r="G26" s="223"/>
      <c r="J26" s="106"/>
    </row>
    <row r="27" spans="1:31" ht="25.5">
      <c r="A27" s="215"/>
      <c r="B27" s="133" t="s">
        <v>1514</v>
      </c>
      <c r="C27" s="134" t="s">
        <v>1515</v>
      </c>
      <c r="D27" s="132">
        <f t="shared" ref="D27" si="2">+D28+D35</f>
        <v>33066513.780000001</v>
      </c>
      <c r="E27" s="132">
        <f t="shared" ref="E27" si="3">+E28+E35</f>
        <v>30400395.57</v>
      </c>
      <c r="F27" s="74" t="s">
        <v>2117</v>
      </c>
      <c r="G27" s="223"/>
      <c r="H27" s="110"/>
      <c r="J27" s="106"/>
    </row>
    <row r="28" spans="1:31" ht="25.5">
      <c r="A28" s="214"/>
      <c r="B28" s="144" t="s">
        <v>131</v>
      </c>
      <c r="C28" s="145" t="s">
        <v>1516</v>
      </c>
      <c r="D28" s="146">
        <f t="shared" ref="D28" si="4">+D29+D30+D31+D34</f>
        <v>33066513.780000001</v>
      </c>
      <c r="E28" s="146">
        <f t="shared" ref="E28" si="5">+E29+E30+E31+E34</f>
        <v>30400395.57</v>
      </c>
      <c r="F28" s="74" t="s">
        <v>2117</v>
      </c>
      <c r="G28" s="223"/>
      <c r="H28" s="110"/>
      <c r="J28" s="106"/>
    </row>
    <row r="29" spans="1:31" ht="18.75">
      <c r="A29" s="214"/>
      <c r="B29" s="115" t="s">
        <v>132</v>
      </c>
      <c r="C29" s="116" t="s">
        <v>1517</v>
      </c>
      <c r="D29" s="109">
        <f>'Alimentazione CE Ricavi'!K6</f>
        <v>19877948.699999999</v>
      </c>
      <c r="E29" s="109">
        <f>'Alimentazione CE Ricavi'!N6</f>
        <v>17232277.010000002</v>
      </c>
      <c r="F29" s="74"/>
      <c r="G29" s="223"/>
      <c r="H29" s="110"/>
      <c r="J29" s="106"/>
    </row>
    <row r="30" spans="1:31" ht="18.75">
      <c r="A30" s="214"/>
      <c r="B30" s="115" t="s">
        <v>134</v>
      </c>
      <c r="C30" s="116" t="s">
        <v>1518</v>
      </c>
      <c r="D30" s="109">
        <f>'Alimentazione CE Ricavi'!K7</f>
        <v>5762615.0800000001</v>
      </c>
      <c r="E30" s="109">
        <f>'Alimentazione CE Ricavi'!N7</f>
        <v>5531254.5599999996</v>
      </c>
      <c r="F30" s="74"/>
      <c r="G30" s="223"/>
      <c r="H30" s="110"/>
      <c r="J30" s="106"/>
    </row>
    <row r="31" spans="1:31" ht="18.75">
      <c r="A31" s="214"/>
      <c r="B31" s="147" t="s">
        <v>135</v>
      </c>
      <c r="C31" s="148" t="s">
        <v>1519</v>
      </c>
      <c r="D31" s="149">
        <f t="shared" ref="D31" si="6">+D32+D33</f>
        <v>7425950</v>
      </c>
      <c r="E31" s="149">
        <f t="shared" ref="E31" si="7">+E32+E33</f>
        <v>7636864</v>
      </c>
      <c r="F31" s="74" t="s">
        <v>2117</v>
      </c>
      <c r="G31" s="223"/>
      <c r="H31" s="110"/>
      <c r="J31" s="106"/>
    </row>
    <row r="32" spans="1:31" ht="18.75">
      <c r="A32" s="214"/>
      <c r="B32" s="117" t="s">
        <v>137</v>
      </c>
      <c r="C32" s="118" t="s">
        <v>1520</v>
      </c>
      <c r="D32" s="109">
        <f>'Alimentazione CE Ricavi'!K9</f>
        <v>2328685</v>
      </c>
      <c r="E32" s="109">
        <f>'Alimentazione CE Ricavi'!N9</f>
        <v>2328685</v>
      </c>
      <c r="F32" s="74"/>
      <c r="G32" s="223"/>
      <c r="H32" s="110"/>
      <c r="J32" s="106"/>
    </row>
    <row r="33" spans="1:10" ht="18.75">
      <c r="A33" s="214"/>
      <c r="B33" s="117" t="s">
        <v>139</v>
      </c>
      <c r="C33" s="118" t="s">
        <v>1521</v>
      </c>
      <c r="D33" s="109">
        <f>'Alimentazione CE Ricavi'!K10</f>
        <v>5097265</v>
      </c>
      <c r="E33" s="109">
        <f>'Alimentazione CE Ricavi'!N10</f>
        <v>5308179</v>
      </c>
      <c r="F33" s="74"/>
      <c r="G33" s="223"/>
      <c r="H33" s="110"/>
      <c r="J33" s="106"/>
    </row>
    <row r="34" spans="1:10" ht="25.5">
      <c r="A34" s="214"/>
      <c r="B34" s="115" t="s">
        <v>141</v>
      </c>
      <c r="C34" s="116" t="s">
        <v>1522</v>
      </c>
      <c r="D34" s="109">
        <f>'Alimentazione CE Ricavi'!K11</f>
        <v>0</v>
      </c>
      <c r="E34" s="109">
        <f>'Alimentazione CE Ricavi'!N11</f>
        <v>0</v>
      </c>
      <c r="F34" s="74"/>
      <c r="G34" s="223"/>
      <c r="H34" s="110"/>
      <c r="J34" s="106"/>
    </row>
    <row r="35" spans="1:10" ht="25.5">
      <c r="A35" s="214"/>
      <c r="B35" s="144" t="s">
        <v>143</v>
      </c>
      <c r="C35" s="145" t="s">
        <v>1523</v>
      </c>
      <c r="D35" s="146">
        <f>+'Alimentazione CE Ricavi'!K13</f>
        <v>0</v>
      </c>
      <c r="E35" s="146">
        <f>+'Alimentazione CE Ricavi'!N13</f>
        <v>0</v>
      </c>
      <c r="F35" s="74"/>
      <c r="G35" s="223"/>
      <c r="H35" s="110"/>
      <c r="J35" s="106"/>
    </row>
    <row r="36" spans="1:10" ht="18.75">
      <c r="A36" s="214"/>
      <c r="B36" s="133" t="s">
        <v>146</v>
      </c>
      <c r="C36" s="134" t="s">
        <v>1524</v>
      </c>
      <c r="D36" s="132">
        <f t="shared" ref="D36" si="8">+D37+D42+D45</f>
        <v>2556063.66</v>
      </c>
      <c r="E36" s="132">
        <f t="shared" ref="E36" si="9">+E37+E42+E45</f>
        <v>2040495.94</v>
      </c>
      <c r="F36" s="74" t="s">
        <v>2117</v>
      </c>
      <c r="G36" s="223"/>
      <c r="H36" s="110"/>
      <c r="J36" s="106"/>
    </row>
    <row r="37" spans="1:10" ht="18.75">
      <c r="A37" s="214"/>
      <c r="B37" s="144" t="s">
        <v>148</v>
      </c>
      <c r="C37" s="145" t="s">
        <v>1525</v>
      </c>
      <c r="D37" s="146">
        <f t="shared" ref="D37" si="10">+D38+D39+D40+D41</f>
        <v>1140662.72</v>
      </c>
      <c r="E37" s="146">
        <f t="shared" ref="E37" si="11">+E38+E39+E40+E41</f>
        <v>696335</v>
      </c>
      <c r="F37" s="74" t="s">
        <v>2117</v>
      </c>
      <c r="G37" s="223"/>
      <c r="H37" s="110"/>
      <c r="J37" s="106"/>
    </row>
    <row r="38" spans="1:10" ht="25.5">
      <c r="A38" s="214"/>
      <c r="B38" s="115" t="s">
        <v>150</v>
      </c>
      <c r="C38" s="116" t="s">
        <v>1526</v>
      </c>
      <c r="D38" s="109">
        <f>+'Alimentazione CE Ricavi'!K17+'Alimentazione CE Ricavi'!K18+'Alimentazione CE Ricavi'!K19+'Alimentazione CE Ricavi'!K20+'Alimentazione CE Ricavi'!K21+'Alimentazione CE Ricavi'!K22</f>
        <v>609099</v>
      </c>
      <c r="E38" s="109">
        <f>+'Alimentazione CE Ricavi'!N17+'Alimentazione CE Ricavi'!N18+'Alimentazione CE Ricavi'!N19+'Alimentazione CE Ricavi'!N20+'Alimentazione CE Ricavi'!N21+'Alimentazione CE Ricavi'!N22</f>
        <v>265585</v>
      </c>
      <c r="F38" s="74"/>
      <c r="G38" s="223"/>
      <c r="H38" s="110"/>
      <c r="J38" s="106"/>
    </row>
    <row r="39" spans="1:10" ht="38.25">
      <c r="A39" s="214"/>
      <c r="B39" s="115" t="s">
        <v>157</v>
      </c>
      <c r="C39" s="116" t="s">
        <v>2118</v>
      </c>
      <c r="D39" s="109">
        <f>+'Alimentazione CE Ricavi'!K23</f>
        <v>0</v>
      </c>
      <c r="E39" s="109">
        <f>+'Alimentazione CE Ricavi'!N23</f>
        <v>0</v>
      </c>
      <c r="F39" s="74"/>
      <c r="G39" s="223"/>
      <c r="H39" s="110"/>
      <c r="J39" s="106"/>
    </row>
    <row r="40" spans="1:10" ht="38.25">
      <c r="A40" s="214"/>
      <c r="B40" s="115" t="s">
        <v>158</v>
      </c>
      <c r="C40" s="116" t="s">
        <v>2119</v>
      </c>
      <c r="D40" s="109">
        <f>+'Alimentazione CE Ricavi'!K24</f>
        <v>171666.28</v>
      </c>
      <c r="E40" s="109">
        <f>+'Alimentazione CE Ricavi'!N24</f>
        <v>430750</v>
      </c>
      <c r="F40" s="74"/>
      <c r="G40" s="223"/>
      <c r="H40" s="110"/>
      <c r="J40" s="106"/>
    </row>
    <row r="41" spans="1:10" ht="25.5">
      <c r="A41" s="214"/>
      <c r="B41" s="115" t="s">
        <v>160</v>
      </c>
      <c r="C41" s="116" t="s">
        <v>1527</v>
      </c>
      <c r="D41" s="109">
        <f>+'Alimentazione CE Ricavi'!K25</f>
        <v>359897.44</v>
      </c>
      <c r="E41" s="109">
        <f>+'Alimentazione CE Ricavi'!N25</f>
        <v>0</v>
      </c>
      <c r="F41" s="74"/>
      <c r="G41" s="223"/>
      <c r="H41" s="110"/>
      <c r="J41" s="106"/>
    </row>
    <row r="42" spans="1:10" ht="25.5">
      <c r="A42" s="214"/>
      <c r="B42" s="144" t="s">
        <v>162</v>
      </c>
      <c r="C42" s="145" t="s">
        <v>1528</v>
      </c>
      <c r="D42" s="146">
        <f t="shared" ref="D42" si="12">+D43+D44</f>
        <v>516709</v>
      </c>
      <c r="E42" s="146">
        <f t="shared" ref="E42" si="13">+E43+E44</f>
        <v>0</v>
      </c>
      <c r="F42" s="74" t="s">
        <v>2117</v>
      </c>
      <c r="G42" s="223"/>
      <c r="H42" s="110"/>
      <c r="J42" s="106"/>
    </row>
    <row r="43" spans="1:10" ht="25.5">
      <c r="A43" s="214" t="s">
        <v>1529</v>
      </c>
      <c r="B43" s="115" t="s">
        <v>164</v>
      </c>
      <c r="C43" s="116" t="s">
        <v>1530</v>
      </c>
      <c r="D43" s="109">
        <f>+'Alimentazione CE Ricavi'!K27</f>
        <v>516709</v>
      </c>
      <c r="E43" s="109">
        <f>+'Alimentazione CE Ricavi'!N27</f>
        <v>0</v>
      </c>
      <c r="F43" s="74"/>
      <c r="G43" s="223"/>
      <c r="H43" s="110"/>
      <c r="J43" s="106"/>
    </row>
    <row r="44" spans="1:10" ht="25.5">
      <c r="A44" s="214" t="s">
        <v>1529</v>
      </c>
      <c r="B44" s="115" t="s">
        <v>166</v>
      </c>
      <c r="C44" s="116" t="s">
        <v>1531</v>
      </c>
      <c r="D44" s="109">
        <f>+'Alimentazione CE Ricavi'!K28</f>
        <v>0</v>
      </c>
      <c r="E44" s="109">
        <f>+'Alimentazione CE Ricavi'!N28</f>
        <v>0</v>
      </c>
      <c r="F44" s="74"/>
      <c r="G44" s="223"/>
      <c r="H44" s="110"/>
      <c r="J44" s="106"/>
    </row>
    <row r="45" spans="1:10" ht="25.5">
      <c r="A45" s="216"/>
      <c r="B45" s="144" t="s">
        <v>168</v>
      </c>
      <c r="C45" s="145" t="s">
        <v>1532</v>
      </c>
      <c r="D45" s="146">
        <f t="shared" ref="D45" si="14">+D46+D47+D48+D49+D50</f>
        <v>898691.94</v>
      </c>
      <c r="E45" s="146">
        <f t="shared" ref="E45" si="15">+E46+E47+E48+E49+E50</f>
        <v>1344160.94</v>
      </c>
      <c r="F45" s="74" t="s">
        <v>2117</v>
      </c>
      <c r="G45" s="223"/>
      <c r="H45" s="110"/>
      <c r="J45" s="106"/>
    </row>
    <row r="46" spans="1:10" ht="18.75">
      <c r="A46" s="216"/>
      <c r="B46" s="115" t="s">
        <v>170</v>
      </c>
      <c r="C46" s="116" t="s">
        <v>1533</v>
      </c>
      <c r="D46" s="109">
        <f>+'Alimentazione CE Ricavi'!K30</f>
        <v>258364.85</v>
      </c>
      <c r="E46" s="109">
        <f>+'Alimentazione CE Ricavi'!N30</f>
        <v>866591.59</v>
      </c>
      <c r="F46" s="355"/>
      <c r="G46" s="223"/>
      <c r="H46" s="110"/>
      <c r="J46" s="106"/>
    </row>
    <row r="47" spans="1:10" ht="25.5">
      <c r="A47" s="216"/>
      <c r="B47" s="115" t="s">
        <v>172</v>
      </c>
      <c r="C47" s="116" t="s">
        <v>1534</v>
      </c>
      <c r="D47" s="109">
        <f>+'Alimentazione CE Ricavi'!K32+'Alimentazione CE Ricavi'!K33+'Alimentazione CE Ricavi'!K34+'Alimentazione CE Ricavi'!K35+'Alimentazione CE Ricavi'!K36+'Alimentazione CE Ricavi'!K37</f>
        <v>282125.68</v>
      </c>
      <c r="E47" s="109">
        <f>+'Alimentazione CE Ricavi'!N32+'Alimentazione CE Ricavi'!N33+'Alimentazione CE Ricavi'!N34+'Alimentazione CE Ricavi'!N35+'Alimentazione CE Ricavi'!N36+'Alimentazione CE Ricavi'!N37</f>
        <v>477569.35</v>
      </c>
      <c r="F47" s="355"/>
      <c r="G47" s="223"/>
      <c r="H47" s="110"/>
      <c r="J47" s="106"/>
    </row>
    <row r="48" spans="1:10" ht="25.5">
      <c r="A48" s="216"/>
      <c r="B48" s="115" t="s">
        <v>180</v>
      </c>
      <c r="C48" s="116" t="s">
        <v>1535</v>
      </c>
      <c r="D48" s="109">
        <f>+'Alimentazione CE Ricavi'!K38</f>
        <v>0</v>
      </c>
      <c r="E48" s="109">
        <f>+'Alimentazione CE Ricavi'!N38</f>
        <v>0</v>
      </c>
      <c r="F48" s="355"/>
      <c r="G48" s="223"/>
      <c r="H48" s="110"/>
      <c r="J48" s="106"/>
    </row>
    <row r="49" spans="1:10" ht="25.5">
      <c r="A49" s="216"/>
      <c r="B49" s="115" t="s">
        <v>182</v>
      </c>
      <c r="C49" s="116" t="s">
        <v>1536</v>
      </c>
      <c r="D49" s="109">
        <f>+'Alimentazione CE Ricavi'!K39</f>
        <v>358201.41</v>
      </c>
      <c r="E49" s="109">
        <f>+'Alimentazione CE Ricavi'!N39</f>
        <v>0</v>
      </c>
      <c r="F49" s="355"/>
      <c r="G49" s="223"/>
      <c r="H49" s="110"/>
      <c r="J49" s="106"/>
    </row>
    <row r="50" spans="1:10" ht="51">
      <c r="A50" s="216"/>
      <c r="B50" s="115" t="s">
        <v>184</v>
      </c>
      <c r="C50" s="116" t="s">
        <v>1537</v>
      </c>
      <c r="D50" s="109">
        <f>+'Alimentazione CE Ricavi'!K40</f>
        <v>0</v>
      </c>
      <c r="E50" s="109">
        <f>+'Alimentazione CE Ricavi'!N40</f>
        <v>0</v>
      </c>
      <c r="F50" s="355"/>
      <c r="G50" s="223"/>
      <c r="H50" s="110"/>
      <c r="J50" s="106"/>
    </row>
    <row r="51" spans="1:10" ht="18.75">
      <c r="A51" s="214"/>
      <c r="B51" s="133" t="s">
        <v>186</v>
      </c>
      <c r="C51" s="134" t="s">
        <v>1538</v>
      </c>
      <c r="D51" s="132">
        <f t="shared" ref="D51" si="16">+D52+D53+D54+D55</f>
        <v>16479365.709999999</v>
      </c>
      <c r="E51" s="132">
        <f t="shared" ref="E51" si="17">+E52+E53+E54+E55</f>
        <v>15888378.330000002</v>
      </c>
      <c r="F51" s="74" t="s">
        <v>2117</v>
      </c>
      <c r="G51" s="223"/>
      <c r="H51" s="110"/>
      <c r="J51" s="106"/>
    </row>
    <row r="52" spans="1:10" ht="25.5">
      <c r="A52" s="214"/>
      <c r="B52" s="113" t="s">
        <v>188</v>
      </c>
      <c r="C52" s="114" t="s">
        <v>1539</v>
      </c>
      <c r="D52" s="109">
        <f>+'Alimentazione CE Ricavi'!K42</f>
        <v>2755277.79</v>
      </c>
      <c r="E52" s="109">
        <f>+'Alimentazione CE Ricavi'!N42</f>
        <v>3546081.76</v>
      </c>
      <c r="F52" s="74"/>
      <c r="G52" s="223"/>
      <c r="H52" s="110"/>
      <c r="J52" s="106"/>
    </row>
    <row r="53" spans="1:10" ht="25.5">
      <c r="A53" s="214"/>
      <c r="B53" s="113" t="s">
        <v>190</v>
      </c>
      <c r="C53" s="114" t="s">
        <v>1540</v>
      </c>
      <c r="D53" s="109">
        <f>+'Alimentazione CE Ricavi'!K43</f>
        <v>2380393.89</v>
      </c>
      <c r="E53" s="109">
        <f>+'Alimentazione CE Ricavi'!N43</f>
        <v>1573674.45</v>
      </c>
      <c r="F53" s="74"/>
      <c r="G53" s="223"/>
      <c r="H53" s="110"/>
      <c r="J53" s="106"/>
    </row>
    <row r="54" spans="1:10" ht="25.5">
      <c r="A54" s="214"/>
      <c r="B54" s="113" t="s">
        <v>192</v>
      </c>
      <c r="C54" s="114" t="s">
        <v>1541</v>
      </c>
      <c r="D54" s="109">
        <f>+'Alimentazione CE Ricavi'!K45+'Alimentazione CE Ricavi'!K46</f>
        <v>9316000</v>
      </c>
      <c r="E54" s="109">
        <f>+'Alimentazione CE Ricavi'!N45+'Alimentazione CE Ricavi'!N46</f>
        <v>9343898</v>
      </c>
      <c r="F54" s="74"/>
      <c r="G54" s="223"/>
      <c r="H54" s="110"/>
      <c r="J54" s="106"/>
    </row>
    <row r="55" spans="1:10" ht="18.75">
      <c r="A55" s="214"/>
      <c r="B55" s="113" t="s">
        <v>196</v>
      </c>
      <c r="C55" s="114" t="s">
        <v>1542</v>
      </c>
      <c r="D55" s="109">
        <f>+'Alimentazione CE Ricavi'!K47</f>
        <v>2027694.03</v>
      </c>
      <c r="E55" s="109">
        <f>+'Alimentazione CE Ricavi'!N47</f>
        <v>1424724.12</v>
      </c>
      <c r="F55" s="74"/>
      <c r="G55" s="223"/>
      <c r="H55" s="110"/>
      <c r="J55" s="106"/>
    </row>
    <row r="56" spans="1:10" ht="18.75">
      <c r="A56" s="214"/>
      <c r="B56" s="133" t="s">
        <v>198</v>
      </c>
      <c r="C56" s="134" t="s">
        <v>1543</v>
      </c>
      <c r="D56" s="132">
        <f>+'Alimentazione CE Ricavi'!K48</f>
        <v>54376</v>
      </c>
      <c r="E56" s="132">
        <f>+'Alimentazione CE Ricavi'!N48</f>
        <v>102093.1</v>
      </c>
      <c r="F56" s="74"/>
      <c r="G56" s="223"/>
      <c r="H56" s="110"/>
      <c r="J56" s="106"/>
    </row>
    <row r="57" spans="1:10" ht="25.5">
      <c r="A57" s="214"/>
      <c r="B57" s="138" t="s">
        <v>200</v>
      </c>
      <c r="C57" s="139" t="s">
        <v>1544</v>
      </c>
      <c r="D57" s="140">
        <f t="shared" ref="D57" si="18">+D58+D59</f>
        <v>-95538.17</v>
      </c>
      <c r="E57" s="140">
        <f t="shared" ref="E57" si="19">+E58+E59</f>
        <v>-130953.17</v>
      </c>
      <c r="F57" s="74" t="s">
        <v>2117</v>
      </c>
      <c r="G57" s="223"/>
      <c r="H57" s="110"/>
      <c r="J57" s="106"/>
    </row>
    <row r="58" spans="1:10" ht="38.25">
      <c r="A58" s="214"/>
      <c r="B58" s="111" t="s">
        <v>202</v>
      </c>
      <c r="C58" s="112" t="s">
        <v>1545</v>
      </c>
      <c r="D58" s="109">
        <f>+'Alimentazione CE Ricavi'!K50</f>
        <v>0</v>
      </c>
      <c r="E58" s="109">
        <f>+'Alimentazione CE Ricavi'!N50</f>
        <v>-50039.92</v>
      </c>
      <c r="F58" s="74"/>
      <c r="G58" s="223"/>
      <c r="H58" s="110"/>
      <c r="J58" s="106"/>
    </row>
    <row r="59" spans="1:10" ht="25.5">
      <c r="A59" s="214"/>
      <c r="B59" s="111" t="s">
        <v>204</v>
      </c>
      <c r="C59" s="112" t="s">
        <v>1546</v>
      </c>
      <c r="D59" s="109">
        <f>+'Alimentazione CE Ricavi'!K51</f>
        <v>-95538.17</v>
      </c>
      <c r="E59" s="109">
        <f>+'Alimentazione CE Ricavi'!N51</f>
        <v>-80913.25</v>
      </c>
      <c r="F59" s="74"/>
      <c r="G59" s="223"/>
      <c r="H59" s="110"/>
      <c r="J59" s="106"/>
    </row>
    <row r="60" spans="1:10" ht="25.5">
      <c r="A60" s="216"/>
      <c r="B60" s="138" t="s">
        <v>206</v>
      </c>
      <c r="C60" s="139" t="s">
        <v>1547</v>
      </c>
      <c r="D60" s="140">
        <f t="shared" ref="D60" si="20">+D61+D62+D63+D64+D65</f>
        <v>8705743.9400000013</v>
      </c>
      <c r="E60" s="140">
        <f t="shared" ref="E60" si="21">+E61+E62+E63+E64+E65</f>
        <v>7940906.3399999999</v>
      </c>
      <c r="F60" s="74" t="s">
        <v>2117</v>
      </c>
      <c r="G60" s="223"/>
      <c r="H60" s="110"/>
      <c r="J60" s="106"/>
    </row>
    <row r="61" spans="1:10" ht="38.25">
      <c r="A61" s="216"/>
      <c r="B61" s="111" t="s">
        <v>208</v>
      </c>
      <c r="C61" s="112" t="s">
        <v>1548</v>
      </c>
      <c r="D61" s="109">
        <f>+'Alimentazione CE Ricavi'!K53</f>
        <v>0</v>
      </c>
      <c r="E61" s="109">
        <f>+'Alimentazione CE Ricavi'!N53</f>
        <v>0</v>
      </c>
      <c r="F61" s="355"/>
      <c r="G61" s="223"/>
      <c r="H61" s="110"/>
      <c r="J61" s="106"/>
    </row>
    <row r="62" spans="1:10" ht="38.25">
      <c r="A62" s="216"/>
      <c r="B62" s="111" t="s">
        <v>210</v>
      </c>
      <c r="C62" s="112" t="s">
        <v>1549</v>
      </c>
      <c r="D62" s="109">
        <f>+'Alimentazione CE Ricavi'!K54</f>
        <v>0</v>
      </c>
      <c r="E62" s="109">
        <f>+'Alimentazione CE Ricavi'!N54</f>
        <v>0</v>
      </c>
      <c r="F62" s="355"/>
      <c r="G62" s="223"/>
      <c r="H62" s="110"/>
      <c r="J62" s="106"/>
    </row>
    <row r="63" spans="1:10" ht="38.25">
      <c r="A63" s="216"/>
      <c r="B63" s="111" t="s">
        <v>212</v>
      </c>
      <c r="C63" s="112" t="s">
        <v>1550</v>
      </c>
      <c r="D63" s="109">
        <f>+'Alimentazione CE Ricavi'!K55</f>
        <v>1647343.7</v>
      </c>
      <c r="E63" s="109">
        <f>+'Alimentazione CE Ricavi'!N55</f>
        <v>903452.14</v>
      </c>
      <c r="F63" s="355"/>
      <c r="G63" s="223"/>
      <c r="H63" s="110"/>
      <c r="J63" s="106"/>
    </row>
    <row r="64" spans="1:10" ht="25.5">
      <c r="A64" s="216"/>
      <c r="B64" s="111" t="s">
        <v>214</v>
      </c>
      <c r="C64" s="112" t="s">
        <v>1551</v>
      </c>
      <c r="D64" s="109">
        <f>+'Alimentazione CE Ricavi'!K56</f>
        <v>3491358.66</v>
      </c>
      <c r="E64" s="109">
        <f>+'Alimentazione CE Ricavi'!N56</f>
        <v>4500093.83</v>
      </c>
      <c r="F64" s="355"/>
      <c r="G64" s="223"/>
      <c r="H64" s="110"/>
      <c r="J64" s="106"/>
    </row>
    <row r="65" spans="1:10" ht="25.5">
      <c r="A65" s="216"/>
      <c r="B65" s="111" t="s">
        <v>216</v>
      </c>
      <c r="C65" s="112" t="s">
        <v>1552</v>
      </c>
      <c r="D65" s="109">
        <f>+'Alimentazione CE Ricavi'!K57</f>
        <v>3567041.58</v>
      </c>
      <c r="E65" s="109">
        <f>+'Alimentazione CE Ricavi'!N57</f>
        <v>2537360.37</v>
      </c>
      <c r="F65" s="355"/>
      <c r="G65" s="223"/>
      <c r="H65" s="110"/>
      <c r="J65" s="106"/>
    </row>
    <row r="66" spans="1:10" ht="25.5">
      <c r="A66" s="214"/>
      <c r="B66" s="138" t="s">
        <v>1553</v>
      </c>
      <c r="C66" s="139" t="s">
        <v>1554</v>
      </c>
      <c r="D66" s="140">
        <f t="shared" ref="D66" si="22">+D67+D106+D112+D113</f>
        <v>36588691.339999996</v>
      </c>
      <c r="E66" s="140">
        <f t="shared" ref="E66" si="23">+E67+E106+E112+E113</f>
        <v>35587676.879999995</v>
      </c>
      <c r="F66" s="74" t="s">
        <v>2117</v>
      </c>
      <c r="G66" s="223"/>
      <c r="H66" s="110"/>
      <c r="J66" s="106"/>
    </row>
    <row r="67" spans="1:10" ht="38.25">
      <c r="A67" s="214"/>
      <c r="B67" s="133" t="s">
        <v>219</v>
      </c>
      <c r="C67" s="134" t="s">
        <v>1555</v>
      </c>
      <c r="D67" s="132">
        <f t="shared" ref="D67" si="24">+D68+D84+D85</f>
        <v>34235623.479999997</v>
      </c>
      <c r="E67" s="132">
        <f t="shared" ref="E67" si="25">+E68+E84+E85</f>
        <v>33423677.879999995</v>
      </c>
      <c r="F67" s="74" t="s">
        <v>2117</v>
      </c>
      <c r="G67" s="223"/>
      <c r="H67" s="110"/>
      <c r="J67" s="106"/>
    </row>
    <row r="68" spans="1:10" ht="38.25">
      <c r="A68" s="214" t="s">
        <v>1529</v>
      </c>
      <c r="B68" s="144" t="s">
        <v>221</v>
      </c>
      <c r="C68" s="145" t="s">
        <v>1556</v>
      </c>
      <c r="D68" s="146">
        <f t="shared" ref="D68" si="26">SUM(D69:D83)</f>
        <v>28826318.539999999</v>
      </c>
      <c r="E68" s="146">
        <f t="shared" ref="E68" si="27">SUM(E69:E83)</f>
        <v>27744963.119999997</v>
      </c>
      <c r="F68" s="74" t="s">
        <v>2117</v>
      </c>
      <c r="G68" s="223"/>
      <c r="H68" s="110"/>
      <c r="J68" s="106"/>
    </row>
    <row r="69" spans="1:10" ht="18.75">
      <c r="A69" s="214" t="s">
        <v>1529</v>
      </c>
      <c r="B69" s="115" t="s">
        <v>223</v>
      </c>
      <c r="C69" s="116" t="s">
        <v>1557</v>
      </c>
      <c r="D69" s="109">
        <f>+'Alimentazione CE Ricavi'!K62+'Alimentazione CE Ricavi'!K63</f>
        <v>19897497.18</v>
      </c>
      <c r="E69" s="109">
        <f>+'Alimentazione CE Ricavi'!N62+'Alimentazione CE Ricavi'!N63</f>
        <v>18625454.129999999</v>
      </c>
      <c r="F69" s="74"/>
      <c r="G69" s="223"/>
      <c r="H69" s="110"/>
      <c r="J69" s="106"/>
    </row>
    <row r="70" spans="1:10" ht="18.75">
      <c r="A70" s="216" t="s">
        <v>1529</v>
      </c>
      <c r="B70" s="115" t="s">
        <v>227</v>
      </c>
      <c r="C70" s="116" t="s">
        <v>1558</v>
      </c>
      <c r="D70" s="109">
        <f>+'Alimentazione CE Ricavi'!K65+'Alimentazione CE Ricavi'!K66</f>
        <v>8179543</v>
      </c>
      <c r="E70" s="109">
        <f>+'Alimentazione CE Ricavi'!N65+'Alimentazione CE Ricavi'!N66</f>
        <v>8263172.9500000002</v>
      </c>
      <c r="F70" s="355"/>
      <c r="G70" s="223"/>
      <c r="H70" s="110"/>
      <c r="J70" s="106"/>
    </row>
    <row r="71" spans="1:10" ht="25.5">
      <c r="A71" s="216" t="s">
        <v>1529</v>
      </c>
      <c r="B71" s="115" t="s">
        <v>230</v>
      </c>
      <c r="C71" s="116" t="s">
        <v>1559</v>
      </c>
      <c r="D71" s="109">
        <f>+'Alimentazione CE Ricavi'!K67</f>
        <v>0</v>
      </c>
      <c r="E71" s="109">
        <f>+'Alimentazione CE Ricavi'!N67</f>
        <v>0</v>
      </c>
      <c r="F71" s="355"/>
      <c r="G71" s="223"/>
      <c r="H71" s="110"/>
      <c r="J71" s="106"/>
    </row>
    <row r="72" spans="1:10" ht="25.5">
      <c r="A72" s="216" t="s">
        <v>1529</v>
      </c>
      <c r="B72" s="115" t="s">
        <v>232</v>
      </c>
      <c r="C72" s="116" t="s">
        <v>1560</v>
      </c>
      <c r="D72" s="109">
        <f>+'Alimentazione CE Ricavi'!K68</f>
        <v>0</v>
      </c>
      <c r="E72" s="109">
        <f>+'Alimentazione CE Ricavi'!N68</f>
        <v>0</v>
      </c>
      <c r="F72" s="355"/>
      <c r="G72" s="223"/>
      <c r="H72" s="110"/>
      <c r="J72" s="106"/>
    </row>
    <row r="73" spans="1:10" ht="18.75">
      <c r="A73" s="216" t="s">
        <v>1529</v>
      </c>
      <c r="B73" s="115" t="s">
        <v>234</v>
      </c>
      <c r="C73" s="116" t="s">
        <v>1561</v>
      </c>
      <c r="D73" s="109">
        <f>+'Alimentazione CE Ricavi'!K69</f>
        <v>599446</v>
      </c>
      <c r="E73" s="109">
        <f>+'Alimentazione CE Ricavi'!N69</f>
        <v>627019</v>
      </c>
      <c r="F73" s="355"/>
      <c r="G73" s="223"/>
      <c r="H73" s="110"/>
      <c r="J73" s="106"/>
    </row>
    <row r="74" spans="1:10" ht="25.5">
      <c r="A74" s="216" t="s">
        <v>1529</v>
      </c>
      <c r="B74" s="115" t="s">
        <v>236</v>
      </c>
      <c r="C74" s="116" t="s">
        <v>1562</v>
      </c>
      <c r="D74" s="109">
        <f>+'Alimentazione CE Ricavi'!K70</f>
        <v>0</v>
      </c>
      <c r="E74" s="109">
        <f>+'Alimentazione CE Ricavi'!N70</f>
        <v>0</v>
      </c>
      <c r="F74" s="355"/>
      <c r="G74" s="223"/>
      <c r="H74" s="110"/>
      <c r="J74" s="106"/>
    </row>
    <row r="75" spans="1:10" ht="18.75">
      <c r="A75" s="216" t="s">
        <v>1529</v>
      </c>
      <c r="B75" s="115" t="s">
        <v>238</v>
      </c>
      <c r="C75" s="116" t="s">
        <v>1563</v>
      </c>
      <c r="D75" s="109">
        <f>+'Alimentazione CE Ricavi'!K71</f>
        <v>0</v>
      </c>
      <c r="E75" s="109">
        <f>+'Alimentazione CE Ricavi'!N71</f>
        <v>0</v>
      </c>
      <c r="F75" s="355"/>
      <c r="G75" s="223"/>
      <c r="H75" s="110"/>
      <c r="J75" s="106"/>
    </row>
    <row r="76" spans="1:10" ht="18.75">
      <c r="A76" s="216" t="s">
        <v>1529</v>
      </c>
      <c r="B76" s="115" t="s">
        <v>240</v>
      </c>
      <c r="C76" s="116" t="s">
        <v>1564</v>
      </c>
      <c r="D76" s="109">
        <f>+'Alimentazione CE Ricavi'!K72</f>
        <v>0</v>
      </c>
      <c r="E76" s="109">
        <f>+'Alimentazione CE Ricavi'!N72</f>
        <v>0</v>
      </c>
      <c r="F76" s="355"/>
      <c r="G76" s="223"/>
      <c r="H76" s="110"/>
      <c r="J76" s="106"/>
    </row>
    <row r="77" spans="1:10" ht="18.75">
      <c r="A77" s="216" t="s">
        <v>1529</v>
      </c>
      <c r="B77" s="115" t="s">
        <v>242</v>
      </c>
      <c r="C77" s="116" t="s">
        <v>1565</v>
      </c>
      <c r="D77" s="109">
        <f>+'Alimentazione CE Ricavi'!K73</f>
        <v>0</v>
      </c>
      <c r="E77" s="109">
        <f>+'Alimentazione CE Ricavi'!N73</f>
        <v>0</v>
      </c>
      <c r="F77" s="355"/>
      <c r="G77" s="223"/>
      <c r="H77" s="110"/>
      <c r="J77" s="106"/>
    </row>
    <row r="78" spans="1:10" ht="18.75">
      <c r="A78" s="216" t="s">
        <v>1529</v>
      </c>
      <c r="B78" s="115" t="s">
        <v>244</v>
      </c>
      <c r="C78" s="116" t="s">
        <v>1566</v>
      </c>
      <c r="D78" s="109">
        <f>+'Alimentazione CE Ricavi'!K74</f>
        <v>0</v>
      </c>
      <c r="E78" s="109">
        <f>+'Alimentazione CE Ricavi'!N74</f>
        <v>0</v>
      </c>
      <c r="F78" s="355"/>
      <c r="G78" s="223"/>
      <c r="H78" s="110"/>
      <c r="J78" s="106"/>
    </row>
    <row r="79" spans="1:10" ht="18.75">
      <c r="A79" s="216" t="s">
        <v>1529</v>
      </c>
      <c r="B79" s="115" t="s">
        <v>246</v>
      </c>
      <c r="C79" s="116" t="s">
        <v>1567</v>
      </c>
      <c r="D79" s="109">
        <f>+'Alimentazione CE Ricavi'!K75</f>
        <v>0</v>
      </c>
      <c r="E79" s="109">
        <f>+'Alimentazione CE Ricavi'!N75</f>
        <v>0</v>
      </c>
      <c r="F79" s="356"/>
      <c r="G79" s="223"/>
      <c r="H79" s="110"/>
      <c r="J79" s="106"/>
    </row>
    <row r="80" spans="1:10" ht="25.5">
      <c r="A80" s="214" t="s">
        <v>1529</v>
      </c>
      <c r="B80" s="115" t="s">
        <v>248</v>
      </c>
      <c r="C80" s="116" t="s">
        <v>1568</v>
      </c>
      <c r="D80" s="109">
        <f>+'Alimentazione CE Ricavi'!K76</f>
        <v>0</v>
      </c>
      <c r="E80" s="109">
        <f>+'Alimentazione CE Ricavi'!N76</f>
        <v>0</v>
      </c>
      <c r="F80" s="356"/>
      <c r="G80" s="223"/>
      <c r="H80" s="110"/>
      <c r="J80" s="106"/>
    </row>
    <row r="81" spans="1:10" ht="25.5">
      <c r="A81" s="214" t="s">
        <v>1529</v>
      </c>
      <c r="B81" s="115" t="s">
        <v>250</v>
      </c>
      <c r="C81" s="116" t="s">
        <v>1569</v>
      </c>
      <c r="D81" s="109">
        <f>+'Alimentazione CE Ricavi'!K77</f>
        <v>0</v>
      </c>
      <c r="E81" s="109">
        <f>+'Alimentazione CE Ricavi'!N77</f>
        <v>0</v>
      </c>
      <c r="F81" s="356"/>
      <c r="G81" s="223"/>
      <c r="H81" s="110"/>
      <c r="J81" s="106"/>
    </row>
    <row r="82" spans="1:10" ht="25.5">
      <c r="A82" s="214" t="s">
        <v>1529</v>
      </c>
      <c r="B82" s="115" t="s">
        <v>252</v>
      </c>
      <c r="C82" s="116" t="s">
        <v>1570</v>
      </c>
      <c r="D82" s="109">
        <f>+'Alimentazione CE Ricavi'!K78</f>
        <v>0</v>
      </c>
      <c r="E82" s="109">
        <f>+'Alimentazione CE Ricavi'!N78</f>
        <v>0</v>
      </c>
      <c r="F82" s="356"/>
      <c r="G82" s="223"/>
      <c r="H82" s="110"/>
      <c r="J82" s="106"/>
    </row>
    <row r="83" spans="1:10" ht="25.5">
      <c r="A83" s="214" t="s">
        <v>1529</v>
      </c>
      <c r="B83" s="115" t="s">
        <v>254</v>
      </c>
      <c r="C83" s="116" t="s">
        <v>1571</v>
      </c>
      <c r="D83" s="109">
        <f>+'Alimentazione CE Ricavi'!K80+'Alimentazione CE Ricavi'!K81</f>
        <v>149832.36000000002</v>
      </c>
      <c r="E83" s="109">
        <f>+'Alimentazione CE Ricavi'!N80+'Alimentazione CE Ricavi'!N81</f>
        <v>229317.04</v>
      </c>
      <c r="F83" s="356"/>
      <c r="G83" s="223"/>
      <c r="H83" s="110"/>
      <c r="J83" s="106"/>
    </row>
    <row r="84" spans="1:10" ht="25.5">
      <c r="A84" s="214"/>
      <c r="B84" s="113" t="s">
        <v>257</v>
      </c>
      <c r="C84" s="114" t="s">
        <v>1572</v>
      </c>
      <c r="D84" s="109">
        <f>+'Alimentazione CE Ricavi'!K82</f>
        <v>0</v>
      </c>
      <c r="E84" s="109">
        <f>+'Alimentazione CE Ricavi'!N82</f>
        <v>0</v>
      </c>
      <c r="F84" s="74"/>
      <c r="G84" s="223"/>
      <c r="H84" s="110"/>
      <c r="J84" s="106"/>
    </row>
    <row r="85" spans="1:10" ht="25.5">
      <c r="A85" s="214"/>
      <c r="B85" s="144" t="s">
        <v>259</v>
      </c>
      <c r="C85" s="145" t="s">
        <v>1573</v>
      </c>
      <c r="D85" s="146">
        <f t="shared" ref="D85" si="28">SUM(D86:D100,D103,D104,D105)</f>
        <v>5409304.9399999995</v>
      </c>
      <c r="E85" s="146">
        <f t="shared" ref="E85" si="29">SUM(E86:E100,E103,E104,E105)</f>
        <v>5678714.7599999998</v>
      </c>
      <c r="F85" s="74" t="s">
        <v>2117</v>
      </c>
      <c r="G85" s="223"/>
      <c r="H85" s="110"/>
      <c r="J85" s="106"/>
    </row>
    <row r="86" spans="1:10" ht="18.75">
      <c r="A86" s="214" t="s">
        <v>1574</v>
      </c>
      <c r="B86" s="115" t="s">
        <v>260</v>
      </c>
      <c r="C86" s="116" t="s">
        <v>1575</v>
      </c>
      <c r="D86" s="109">
        <f>+'Alimentazione CE Ricavi'!K85</f>
        <v>3832159</v>
      </c>
      <c r="E86" s="109">
        <f>+'Alimentazione CE Ricavi'!N85</f>
        <v>3956495</v>
      </c>
      <c r="F86" s="74"/>
      <c r="G86" s="223"/>
      <c r="H86" s="110"/>
      <c r="J86" s="106"/>
    </row>
    <row r="87" spans="1:10" ht="18.75">
      <c r="A87" s="214" t="s">
        <v>1574</v>
      </c>
      <c r="B87" s="115" t="s">
        <v>263</v>
      </c>
      <c r="C87" s="116" t="s">
        <v>1576</v>
      </c>
      <c r="D87" s="109">
        <f>+'Alimentazione CE Ricavi'!K87</f>
        <v>1315853</v>
      </c>
      <c r="E87" s="109">
        <f>+'Alimentazione CE Ricavi'!N87</f>
        <v>1120222</v>
      </c>
      <c r="F87" s="74"/>
      <c r="G87" s="223"/>
      <c r="H87" s="110"/>
      <c r="J87" s="106"/>
    </row>
    <row r="88" spans="1:10" ht="25.5">
      <c r="A88" s="214" t="s">
        <v>1574</v>
      </c>
      <c r="B88" s="115" t="s">
        <v>266</v>
      </c>
      <c r="C88" s="116" t="s">
        <v>1577</v>
      </c>
      <c r="D88" s="109">
        <f>+'Alimentazione CE Ricavi'!K88</f>
        <v>0</v>
      </c>
      <c r="E88" s="109">
        <f>+'Alimentazione CE Ricavi'!N88</f>
        <v>0</v>
      </c>
      <c r="F88" s="355"/>
      <c r="G88" s="223"/>
      <c r="H88" s="110"/>
      <c r="J88" s="106"/>
    </row>
    <row r="89" spans="1:10" ht="25.5">
      <c r="A89" s="216" t="s">
        <v>1578</v>
      </c>
      <c r="B89" s="115" t="s">
        <v>268</v>
      </c>
      <c r="C89" s="116" t="s">
        <v>1579</v>
      </c>
      <c r="D89" s="109">
        <f>+'Alimentazione CE Ricavi'!K89</f>
        <v>0</v>
      </c>
      <c r="E89" s="109">
        <f>+'Alimentazione CE Ricavi'!N89</f>
        <v>0</v>
      </c>
      <c r="F89" s="355"/>
      <c r="G89" s="223"/>
      <c r="H89" s="110"/>
      <c r="J89" s="106"/>
    </row>
    <row r="90" spans="1:10" ht="18.75">
      <c r="A90" s="216" t="s">
        <v>1574</v>
      </c>
      <c r="B90" s="115" t="s">
        <v>269</v>
      </c>
      <c r="C90" s="116" t="s">
        <v>1580</v>
      </c>
      <c r="D90" s="109">
        <f>+'Alimentazione CE Ricavi'!K90</f>
        <v>142412</v>
      </c>
      <c r="E90" s="109">
        <f>+'Alimentazione CE Ricavi'!N90</f>
        <v>199555</v>
      </c>
      <c r="F90" s="74"/>
      <c r="G90" s="223"/>
      <c r="H90" s="110"/>
      <c r="J90" s="106"/>
    </row>
    <row r="91" spans="1:10" ht="25.5">
      <c r="A91" s="216" t="s">
        <v>1574</v>
      </c>
      <c r="B91" s="115" t="s">
        <v>271</v>
      </c>
      <c r="C91" s="116" t="s">
        <v>1581</v>
      </c>
      <c r="D91" s="109">
        <f>+'Alimentazione CE Ricavi'!K91</f>
        <v>0</v>
      </c>
      <c r="E91" s="109">
        <f>+'Alimentazione CE Ricavi'!N91</f>
        <v>0</v>
      </c>
      <c r="F91" s="355"/>
      <c r="G91" s="223"/>
      <c r="H91" s="110"/>
      <c r="J91" s="106"/>
    </row>
    <row r="92" spans="1:10" ht="25.5">
      <c r="A92" s="216" t="s">
        <v>1574</v>
      </c>
      <c r="B92" s="115" t="s">
        <v>273</v>
      </c>
      <c r="C92" s="116" t="s">
        <v>1582</v>
      </c>
      <c r="D92" s="109">
        <f>+'Alimentazione CE Ricavi'!K92</f>
        <v>0</v>
      </c>
      <c r="E92" s="109">
        <f>+'Alimentazione CE Ricavi'!N92</f>
        <v>0</v>
      </c>
      <c r="F92" s="355"/>
      <c r="G92" s="223"/>
      <c r="H92" s="110"/>
      <c r="J92" s="106"/>
    </row>
    <row r="93" spans="1:10" ht="18.75">
      <c r="A93" s="216" t="s">
        <v>1574</v>
      </c>
      <c r="B93" s="115" t="s">
        <v>275</v>
      </c>
      <c r="C93" s="116" t="s">
        <v>1583</v>
      </c>
      <c r="D93" s="109">
        <f>+'Alimentazione CE Ricavi'!K93</f>
        <v>0</v>
      </c>
      <c r="E93" s="109">
        <f>+'Alimentazione CE Ricavi'!N93</f>
        <v>0</v>
      </c>
      <c r="F93" s="355"/>
      <c r="G93" s="223"/>
      <c r="H93" s="110"/>
      <c r="J93" s="106"/>
    </row>
    <row r="94" spans="1:10" ht="25.5">
      <c r="A94" s="216" t="s">
        <v>1574</v>
      </c>
      <c r="B94" s="115" t="s">
        <v>277</v>
      </c>
      <c r="C94" s="116" t="s">
        <v>1584</v>
      </c>
      <c r="D94" s="109">
        <f>+'Alimentazione CE Ricavi'!K94</f>
        <v>0</v>
      </c>
      <c r="E94" s="109">
        <f>+'Alimentazione CE Ricavi'!N94</f>
        <v>0</v>
      </c>
      <c r="F94" s="355"/>
      <c r="G94" s="223"/>
      <c r="H94" s="110"/>
      <c r="J94" s="106"/>
    </row>
    <row r="95" spans="1:10" ht="25.5">
      <c r="A95" s="216" t="s">
        <v>1578</v>
      </c>
      <c r="B95" s="115" t="s">
        <v>279</v>
      </c>
      <c r="C95" s="116" t="s">
        <v>1585</v>
      </c>
      <c r="D95" s="109">
        <f>+'Alimentazione CE Ricavi'!K95</f>
        <v>0</v>
      </c>
      <c r="E95" s="109">
        <f>+'Alimentazione CE Ricavi'!N95</f>
        <v>0</v>
      </c>
      <c r="F95" s="355"/>
      <c r="G95" s="223"/>
      <c r="H95" s="110"/>
      <c r="J95" s="106"/>
    </row>
    <row r="96" spans="1:10" ht="25.5">
      <c r="A96" s="216" t="s">
        <v>1578</v>
      </c>
      <c r="B96" s="115" t="s">
        <v>281</v>
      </c>
      <c r="C96" s="116" t="s">
        <v>1586</v>
      </c>
      <c r="D96" s="109">
        <f>+'Alimentazione CE Ricavi'!K96</f>
        <v>0</v>
      </c>
      <c r="E96" s="109">
        <f>+'Alimentazione CE Ricavi'!N96</f>
        <v>0</v>
      </c>
      <c r="F96" s="355"/>
      <c r="G96" s="223"/>
      <c r="H96" s="110"/>
      <c r="J96" s="106"/>
    </row>
    <row r="97" spans="1:10" ht="25.5">
      <c r="A97" s="216" t="s">
        <v>1574</v>
      </c>
      <c r="B97" s="115" t="s">
        <v>283</v>
      </c>
      <c r="C97" s="116" t="s">
        <v>1587</v>
      </c>
      <c r="D97" s="109">
        <f>+'Alimentazione CE Ricavi'!K97</f>
        <v>0</v>
      </c>
      <c r="E97" s="109">
        <f>+'Alimentazione CE Ricavi'!N97</f>
        <v>0</v>
      </c>
      <c r="F97" s="355"/>
      <c r="G97" s="223"/>
      <c r="H97" s="110"/>
      <c r="J97" s="106"/>
    </row>
    <row r="98" spans="1:10" ht="25.5">
      <c r="A98" s="216" t="s">
        <v>1574</v>
      </c>
      <c r="B98" s="115" t="s">
        <v>284</v>
      </c>
      <c r="C98" s="116" t="s">
        <v>1588</v>
      </c>
      <c r="D98" s="109">
        <f>+'Alimentazione CE Ricavi'!K98</f>
        <v>0</v>
      </c>
      <c r="E98" s="109">
        <f>+'Alimentazione CE Ricavi'!N98</f>
        <v>0</v>
      </c>
      <c r="F98" s="355"/>
      <c r="G98" s="223"/>
      <c r="H98" s="110"/>
      <c r="J98" s="106"/>
    </row>
    <row r="99" spans="1:10" ht="25.5">
      <c r="A99" s="216" t="s">
        <v>1574</v>
      </c>
      <c r="B99" s="115" t="s">
        <v>287</v>
      </c>
      <c r="C99" s="116" t="s">
        <v>1589</v>
      </c>
      <c r="D99" s="109">
        <f>+'Alimentazione CE Ricavi'!K99</f>
        <v>0</v>
      </c>
      <c r="E99" s="109">
        <f>+'Alimentazione CE Ricavi'!N99</f>
        <v>260481</v>
      </c>
      <c r="F99" s="355"/>
      <c r="G99" s="223"/>
      <c r="H99" s="110"/>
      <c r="J99" s="106"/>
    </row>
    <row r="100" spans="1:10" ht="38.25">
      <c r="A100" s="216" t="s">
        <v>1578</v>
      </c>
      <c r="B100" s="147" t="s">
        <v>289</v>
      </c>
      <c r="C100" s="148" t="s">
        <v>1590</v>
      </c>
      <c r="D100" s="149">
        <f t="shared" ref="D100" si="30">+D101+D102</f>
        <v>15129.34</v>
      </c>
      <c r="E100" s="149">
        <f t="shared" ref="E100" si="31">+E101+E102</f>
        <v>31345.759999999998</v>
      </c>
      <c r="F100" s="74" t="s">
        <v>2117</v>
      </c>
      <c r="G100" s="223"/>
      <c r="H100" s="110"/>
      <c r="J100" s="106"/>
    </row>
    <row r="101" spans="1:10" ht="25.5">
      <c r="A101" s="216" t="s">
        <v>1578</v>
      </c>
      <c r="B101" s="113" t="s">
        <v>291</v>
      </c>
      <c r="C101" s="114" t="s">
        <v>1591</v>
      </c>
      <c r="D101" s="109">
        <f>+'Alimentazione CE Ricavi'!K101</f>
        <v>0</v>
      </c>
      <c r="E101" s="109">
        <f>+'Alimentazione CE Ricavi'!N101</f>
        <v>0</v>
      </c>
      <c r="F101" s="355"/>
      <c r="G101" s="223"/>
      <c r="H101" s="110"/>
      <c r="J101" s="106"/>
    </row>
    <row r="102" spans="1:10" ht="38.25">
      <c r="A102" s="216" t="s">
        <v>1578</v>
      </c>
      <c r="B102" s="113" t="s">
        <v>293</v>
      </c>
      <c r="C102" s="114" t="s">
        <v>1592</v>
      </c>
      <c r="D102" s="109">
        <f>+'Alimentazione CE Ricavi'!K103+'Alimentazione CE Ricavi'!K106+'Alimentazione CE Ricavi'!K104+'Alimentazione CE Ricavi'!K105</f>
        <v>15129.34</v>
      </c>
      <c r="E102" s="109">
        <f>+'Alimentazione CE Ricavi'!N103+'Alimentazione CE Ricavi'!N106+'Alimentazione CE Ricavi'!N104+'Alimentazione CE Ricavi'!N105</f>
        <v>31345.759999999998</v>
      </c>
      <c r="F102" s="355"/>
      <c r="G102" s="223"/>
      <c r="H102" s="110"/>
      <c r="J102" s="106"/>
    </row>
    <row r="103" spans="1:10" ht="25.5">
      <c r="A103" s="216"/>
      <c r="B103" s="115" t="s">
        <v>295</v>
      </c>
      <c r="C103" s="116" t="s">
        <v>1593</v>
      </c>
      <c r="D103" s="109">
        <f>+'Alimentazione CE Ricavi'!K107</f>
        <v>103751.6</v>
      </c>
      <c r="E103" s="109">
        <f>+'Alimentazione CE Ricavi'!N107</f>
        <v>110616</v>
      </c>
      <c r="F103" s="355"/>
      <c r="G103" s="223"/>
      <c r="H103" s="110"/>
      <c r="J103" s="106"/>
    </row>
    <row r="104" spans="1:10" ht="25.5">
      <c r="A104" s="214" t="s">
        <v>1529</v>
      </c>
      <c r="B104" s="115" t="s">
        <v>297</v>
      </c>
      <c r="C104" s="116" t="s">
        <v>1594</v>
      </c>
      <c r="D104" s="109">
        <f>+'Alimentazione CE Ricavi'!K108</f>
        <v>0</v>
      </c>
      <c r="E104" s="109">
        <f>+'Alimentazione CE Ricavi'!N108</f>
        <v>0</v>
      </c>
      <c r="F104" s="355"/>
      <c r="G104" s="223"/>
      <c r="H104" s="110"/>
      <c r="J104" s="106"/>
    </row>
    <row r="105" spans="1:10" ht="38.25">
      <c r="A105" s="214" t="s">
        <v>1578</v>
      </c>
      <c r="B105" s="115" t="s">
        <v>299</v>
      </c>
      <c r="C105" s="116" t="s">
        <v>1595</v>
      </c>
      <c r="D105" s="109">
        <f>+'Alimentazione CE Ricavi'!K109</f>
        <v>0</v>
      </c>
      <c r="E105" s="109">
        <f>+'Alimentazione CE Ricavi'!N109</f>
        <v>0</v>
      </c>
      <c r="F105" s="355"/>
      <c r="G105" s="223"/>
      <c r="H105" s="110"/>
      <c r="J105" s="106"/>
    </row>
    <row r="106" spans="1:10" ht="51">
      <c r="A106" s="217" t="s">
        <v>1574</v>
      </c>
      <c r="B106" s="133" t="s">
        <v>301</v>
      </c>
      <c r="C106" s="134" t="s">
        <v>1596</v>
      </c>
      <c r="D106" s="132">
        <f t="shared" ref="D106" si="32">SUM(D107:D111)</f>
        <v>0</v>
      </c>
      <c r="E106" s="132">
        <f t="shared" ref="E106" si="33">SUM(E107:E111)</f>
        <v>0</v>
      </c>
      <c r="F106" s="74" t="s">
        <v>2117</v>
      </c>
      <c r="G106" s="223"/>
      <c r="H106" s="110"/>
      <c r="J106" s="106"/>
    </row>
    <row r="107" spans="1:10" ht="25.5">
      <c r="A107" s="216" t="s">
        <v>1574</v>
      </c>
      <c r="B107" s="115" t="s">
        <v>303</v>
      </c>
      <c r="C107" s="116" t="s">
        <v>1597</v>
      </c>
      <c r="D107" s="109">
        <f>+'Alimentazione CE Ricavi'!K111</f>
        <v>0</v>
      </c>
      <c r="E107" s="109">
        <f>+'Alimentazione CE Ricavi'!N111</f>
        <v>0</v>
      </c>
      <c r="F107" s="355"/>
      <c r="G107" s="223"/>
      <c r="H107" s="110"/>
      <c r="J107" s="106"/>
    </row>
    <row r="108" spans="1:10" ht="25.5">
      <c r="A108" s="216" t="s">
        <v>1574</v>
      </c>
      <c r="B108" s="113" t="s">
        <v>305</v>
      </c>
      <c r="C108" s="114" t="s">
        <v>1598</v>
      </c>
      <c r="D108" s="109">
        <f>+'Alimentazione CE Ricavi'!K112</f>
        <v>0</v>
      </c>
      <c r="E108" s="109">
        <f>+'Alimentazione CE Ricavi'!N112</f>
        <v>0</v>
      </c>
      <c r="F108" s="355"/>
      <c r="G108" s="223"/>
      <c r="H108" s="110"/>
      <c r="J108" s="106"/>
    </row>
    <row r="109" spans="1:10" ht="38.25">
      <c r="A109" s="216" t="s">
        <v>1574</v>
      </c>
      <c r="B109" s="113" t="s">
        <v>307</v>
      </c>
      <c r="C109" s="114" t="s">
        <v>1599</v>
      </c>
      <c r="D109" s="109">
        <f>+'Alimentazione CE Ricavi'!K113</f>
        <v>0</v>
      </c>
      <c r="E109" s="109">
        <f>+'Alimentazione CE Ricavi'!N113</f>
        <v>0</v>
      </c>
      <c r="F109" s="355"/>
      <c r="G109" s="223"/>
      <c r="H109" s="110"/>
      <c r="J109" s="106"/>
    </row>
    <row r="110" spans="1:10" ht="25.5">
      <c r="A110" s="214" t="s">
        <v>1574</v>
      </c>
      <c r="B110" s="113" t="s">
        <v>309</v>
      </c>
      <c r="C110" s="114" t="s">
        <v>1600</v>
      </c>
      <c r="D110" s="109">
        <f>+'Alimentazione CE Ricavi'!K114</f>
        <v>0</v>
      </c>
      <c r="E110" s="109">
        <f>+'Alimentazione CE Ricavi'!N114</f>
        <v>0</v>
      </c>
      <c r="F110" s="355"/>
      <c r="G110" s="223"/>
      <c r="H110" s="110"/>
      <c r="J110" s="106"/>
    </row>
    <row r="111" spans="1:10" ht="38.25">
      <c r="A111" s="214" t="s">
        <v>1574</v>
      </c>
      <c r="B111" s="113" t="s">
        <v>311</v>
      </c>
      <c r="C111" s="114" t="s">
        <v>1601</v>
      </c>
      <c r="D111" s="109">
        <f>+'Alimentazione CE Ricavi'!K115</f>
        <v>0</v>
      </c>
      <c r="E111" s="109">
        <f>+'Alimentazione CE Ricavi'!N115</f>
        <v>0</v>
      </c>
      <c r="F111" s="355"/>
      <c r="G111" s="223"/>
      <c r="H111" s="110"/>
      <c r="J111" s="106"/>
    </row>
    <row r="112" spans="1:10" ht="25.5">
      <c r="A112" s="214"/>
      <c r="B112" s="133" t="s">
        <v>313</v>
      </c>
      <c r="C112" s="134" t="s">
        <v>1602</v>
      </c>
      <c r="D112" s="132">
        <f>+ROUND(SUM('Alimentazione CE Ricavi'!K118:K152),2)</f>
        <v>1077138.01</v>
      </c>
      <c r="E112" s="132">
        <f>+ROUND(SUM('Alimentazione CE Ricavi'!N118:N152),2)</f>
        <v>946634.06</v>
      </c>
      <c r="F112" s="74"/>
      <c r="G112" s="223"/>
      <c r="H112" s="110"/>
      <c r="J112" s="106"/>
    </row>
    <row r="113" spans="1:10" ht="25.5">
      <c r="A113" s="214"/>
      <c r="B113" s="133" t="s">
        <v>1603</v>
      </c>
      <c r="C113" s="134" t="s">
        <v>1604</v>
      </c>
      <c r="D113" s="132">
        <f t="shared" ref="D113" si="34">SUM(D114:D120)</f>
        <v>1275929.8500000001</v>
      </c>
      <c r="E113" s="132">
        <f t="shared" ref="E113" si="35">SUM(E114:E120)</f>
        <v>1217364.9400000002</v>
      </c>
      <c r="F113" s="74" t="s">
        <v>2117</v>
      </c>
      <c r="G113" s="223"/>
      <c r="H113" s="110"/>
      <c r="J113" s="106"/>
    </row>
    <row r="114" spans="1:10" ht="25.5">
      <c r="A114" s="214"/>
      <c r="B114" s="113" t="s">
        <v>350</v>
      </c>
      <c r="C114" s="114" t="s">
        <v>1605</v>
      </c>
      <c r="D114" s="109">
        <f>+'Alimentazione CE Ricavi'!K154</f>
        <v>108109.42</v>
      </c>
      <c r="E114" s="109">
        <f>+'Alimentazione CE Ricavi'!N154</f>
        <v>39430.300000000003</v>
      </c>
      <c r="F114" s="74"/>
      <c r="G114" s="223"/>
      <c r="H114" s="110"/>
      <c r="J114" s="106"/>
    </row>
    <row r="115" spans="1:10" ht="25.5">
      <c r="A115" s="214"/>
      <c r="B115" s="113" t="s">
        <v>352</v>
      </c>
      <c r="C115" s="114" t="s">
        <v>1606</v>
      </c>
      <c r="D115" s="109">
        <f>+'Alimentazione CE Ricavi'!K155</f>
        <v>905814.41</v>
      </c>
      <c r="E115" s="109">
        <f>+'Alimentazione CE Ricavi'!N155</f>
        <v>871053.4</v>
      </c>
      <c r="F115" s="74"/>
      <c r="G115" s="223"/>
      <c r="H115" s="110"/>
      <c r="J115" s="106"/>
    </row>
    <row r="116" spans="1:10" ht="25.5">
      <c r="A116" s="214"/>
      <c r="B116" s="113" t="s">
        <v>354</v>
      </c>
      <c r="C116" s="114" t="s">
        <v>1607</v>
      </c>
      <c r="D116" s="109">
        <f>+'Alimentazione CE Ricavi'!K156</f>
        <v>0</v>
      </c>
      <c r="E116" s="109">
        <f>+'Alimentazione CE Ricavi'!N156</f>
        <v>0</v>
      </c>
      <c r="F116" s="74"/>
      <c r="G116" s="223"/>
      <c r="H116" s="110"/>
      <c r="J116" s="106"/>
    </row>
    <row r="117" spans="1:10" ht="25.5">
      <c r="A117" s="214"/>
      <c r="B117" s="113" t="s">
        <v>356</v>
      </c>
      <c r="C117" s="114" t="s">
        <v>1608</v>
      </c>
      <c r="D117" s="109">
        <f>+'Alimentazione CE Ricavi'!K157</f>
        <v>248871.94</v>
      </c>
      <c r="E117" s="109">
        <f>+'Alimentazione CE Ricavi'!N157</f>
        <v>249442.65</v>
      </c>
      <c r="F117" s="74"/>
      <c r="G117" s="223"/>
      <c r="H117" s="110"/>
      <c r="J117" s="106"/>
    </row>
    <row r="118" spans="1:10" ht="38.25">
      <c r="A118" s="214" t="s">
        <v>1529</v>
      </c>
      <c r="B118" s="113" t="s">
        <v>358</v>
      </c>
      <c r="C118" s="114" t="s">
        <v>1609</v>
      </c>
      <c r="D118" s="109">
        <f>+'Alimentazione CE Ricavi'!K158</f>
        <v>13134.08</v>
      </c>
      <c r="E118" s="109">
        <f>+'Alimentazione CE Ricavi'!N158</f>
        <v>52456.59</v>
      </c>
      <c r="F118" s="74"/>
      <c r="G118" s="223"/>
      <c r="H118" s="110"/>
      <c r="J118" s="106"/>
    </row>
    <row r="119" spans="1:10" ht="18.75">
      <c r="A119" s="214"/>
      <c r="B119" s="113" t="s">
        <v>360</v>
      </c>
      <c r="C119" s="114" t="s">
        <v>1610</v>
      </c>
      <c r="D119" s="109">
        <f>+'Alimentazione CE Ricavi'!K159</f>
        <v>0</v>
      </c>
      <c r="E119" s="109">
        <f>+'Alimentazione CE Ricavi'!N159</f>
        <v>0</v>
      </c>
      <c r="F119" s="74"/>
      <c r="G119" s="223"/>
      <c r="H119" s="110"/>
      <c r="J119" s="106"/>
    </row>
    <row r="120" spans="1:10" ht="25.5">
      <c r="A120" s="214" t="s">
        <v>1529</v>
      </c>
      <c r="B120" s="113" t="s">
        <v>362</v>
      </c>
      <c r="C120" s="114" t="s">
        <v>1611</v>
      </c>
      <c r="D120" s="109">
        <f>+'Alimentazione CE Ricavi'!K160</f>
        <v>0</v>
      </c>
      <c r="E120" s="109">
        <f>+'Alimentazione CE Ricavi'!N160</f>
        <v>4982</v>
      </c>
      <c r="F120" s="74"/>
      <c r="G120" s="223"/>
      <c r="H120" s="110"/>
      <c r="J120" s="106"/>
    </row>
    <row r="121" spans="1:10" ht="18.75">
      <c r="A121" s="214"/>
      <c r="B121" s="138" t="s">
        <v>1612</v>
      </c>
      <c r="C121" s="139" t="s">
        <v>1613</v>
      </c>
      <c r="D121" s="140">
        <f t="shared" ref="D121" si="36">+D122+D123+D126+D131+D135</f>
        <v>2171327.13</v>
      </c>
      <c r="E121" s="140">
        <f t="shared" ref="E121" si="37">+E122+E123+E126+E131+E135</f>
        <v>892431.89999999991</v>
      </c>
      <c r="F121" s="74"/>
      <c r="G121" s="223"/>
      <c r="H121" s="110"/>
      <c r="J121" s="106"/>
    </row>
    <row r="122" spans="1:10" ht="18.75">
      <c r="A122" s="214"/>
      <c r="B122" s="111" t="s">
        <v>365</v>
      </c>
      <c r="C122" s="112" t="s">
        <v>1614</v>
      </c>
      <c r="D122" s="109">
        <f>+'Alimentazione CE Ricavi'!K162</f>
        <v>14459.57</v>
      </c>
      <c r="E122" s="109">
        <f>+'Alimentazione CE Ricavi'!N162</f>
        <v>2538.8000000000002</v>
      </c>
      <c r="F122" s="74"/>
      <c r="G122" s="223"/>
      <c r="H122" s="110"/>
      <c r="J122" s="106"/>
    </row>
    <row r="123" spans="1:10" ht="18.75">
      <c r="A123" s="218"/>
      <c r="B123" s="133" t="s">
        <v>1615</v>
      </c>
      <c r="C123" s="134" t="s">
        <v>1616</v>
      </c>
      <c r="D123" s="132">
        <f t="shared" ref="D123" si="38">+D124+D125</f>
        <v>0</v>
      </c>
      <c r="E123" s="132">
        <f t="shared" ref="E123" si="39">+E124+E125</f>
        <v>0</v>
      </c>
      <c r="F123" s="74" t="s">
        <v>2117</v>
      </c>
      <c r="G123" s="223"/>
      <c r="H123" s="110"/>
      <c r="J123" s="106"/>
    </row>
    <row r="124" spans="1:10" ht="25.5">
      <c r="A124" s="218"/>
      <c r="B124" s="113" t="s">
        <v>368</v>
      </c>
      <c r="C124" s="114" t="s">
        <v>1617</v>
      </c>
      <c r="D124" s="109">
        <f>+'Alimentazione CE Ricavi'!K164</f>
        <v>0</v>
      </c>
      <c r="E124" s="109">
        <f>+'Alimentazione CE Ricavi'!N164</f>
        <v>0</v>
      </c>
      <c r="F124" s="74"/>
      <c r="G124" s="223"/>
      <c r="H124" s="110"/>
      <c r="J124" s="106"/>
    </row>
    <row r="125" spans="1:10" ht="25.5">
      <c r="A125" s="218"/>
      <c r="B125" s="113" t="s">
        <v>370</v>
      </c>
      <c r="C125" s="114" t="s">
        <v>1618</v>
      </c>
      <c r="D125" s="109">
        <f>+'Alimentazione CE Ricavi'!K165</f>
        <v>0</v>
      </c>
      <c r="E125" s="109">
        <f>+'Alimentazione CE Ricavi'!N165</f>
        <v>0</v>
      </c>
      <c r="F125" s="74"/>
      <c r="G125" s="223"/>
      <c r="H125" s="110"/>
      <c r="J125" s="106"/>
    </row>
    <row r="126" spans="1:10" ht="25.5">
      <c r="A126" s="217" t="s">
        <v>1529</v>
      </c>
      <c r="B126" s="133" t="s">
        <v>1619</v>
      </c>
      <c r="C126" s="134" t="s">
        <v>1620</v>
      </c>
      <c r="D126" s="132">
        <f t="shared" ref="D126" si="40">+D127+D128+D129+D130</f>
        <v>322176.92</v>
      </c>
      <c r="E126" s="132">
        <f t="shared" ref="E126" si="41">+E127+E128+E129+E130</f>
        <v>411224.51999999996</v>
      </c>
      <c r="F126" s="74" t="s">
        <v>2117</v>
      </c>
      <c r="G126" s="223"/>
      <c r="H126" s="110"/>
      <c r="J126" s="106"/>
    </row>
    <row r="127" spans="1:10" ht="38.25">
      <c r="A127" s="214" t="s">
        <v>1529</v>
      </c>
      <c r="B127" s="113" t="s">
        <v>373</v>
      </c>
      <c r="C127" s="114" t="s">
        <v>1621</v>
      </c>
      <c r="D127" s="109">
        <f>+'Alimentazione CE Ricavi'!K167</f>
        <v>213693.99</v>
      </c>
      <c r="E127" s="109">
        <f>+'Alimentazione CE Ricavi'!N167</f>
        <v>45826.93</v>
      </c>
      <c r="F127" s="74"/>
      <c r="G127" s="223"/>
      <c r="H127" s="110"/>
      <c r="J127" s="106"/>
    </row>
    <row r="128" spans="1:10" ht="25.5">
      <c r="A128" s="214" t="s">
        <v>1529</v>
      </c>
      <c r="B128" s="113" t="s">
        <v>375</v>
      </c>
      <c r="C128" s="114" t="s">
        <v>1622</v>
      </c>
      <c r="D128" s="109">
        <f>+'Alimentazione CE Ricavi'!K168</f>
        <v>0</v>
      </c>
      <c r="E128" s="109">
        <f>+'Alimentazione CE Ricavi'!N168</f>
        <v>0</v>
      </c>
      <c r="F128" s="74"/>
      <c r="G128" s="223"/>
      <c r="H128" s="110"/>
      <c r="J128" s="106"/>
    </row>
    <row r="129" spans="1:10" ht="25.5">
      <c r="A129" s="214" t="s">
        <v>1529</v>
      </c>
      <c r="B129" s="113" t="s">
        <v>377</v>
      </c>
      <c r="C129" s="114" t="s">
        <v>1623</v>
      </c>
      <c r="D129" s="109">
        <f>+'Alimentazione CE Ricavi'!K170+'Alimentazione CE Ricavi'!K171+'Alimentazione CE Ricavi'!K172</f>
        <v>108482.93000000001</v>
      </c>
      <c r="E129" s="109">
        <f>+'Alimentazione CE Ricavi'!N170+'Alimentazione CE Ricavi'!N171+'Alimentazione CE Ricavi'!N172</f>
        <v>365397.58999999997</v>
      </c>
      <c r="F129" s="74"/>
      <c r="G129" s="223"/>
      <c r="H129" s="110"/>
      <c r="J129" s="106"/>
    </row>
    <row r="130" spans="1:10" ht="25.5">
      <c r="A130" s="214" t="s">
        <v>1529</v>
      </c>
      <c r="B130" s="113" t="s">
        <v>381</v>
      </c>
      <c r="C130" s="114" t="s">
        <v>1624</v>
      </c>
      <c r="D130" s="109">
        <f>+'Alimentazione CE Ricavi'!K173</f>
        <v>0</v>
      </c>
      <c r="E130" s="109">
        <f>+'Alimentazione CE Ricavi'!N173</f>
        <v>0</v>
      </c>
      <c r="F130" s="74"/>
      <c r="G130" s="223"/>
      <c r="H130" s="110"/>
      <c r="J130" s="106"/>
    </row>
    <row r="131" spans="1:10" ht="25.5">
      <c r="A131" s="214"/>
      <c r="B131" s="133" t="s">
        <v>383</v>
      </c>
      <c r="C131" s="134" t="s">
        <v>1625</v>
      </c>
      <c r="D131" s="132">
        <f t="shared" ref="D131" si="42">+D132+D133+D134</f>
        <v>111132.7</v>
      </c>
      <c r="E131" s="132">
        <f t="shared" ref="E131" si="43">+E132+E133+E134</f>
        <v>168875.08</v>
      </c>
      <c r="F131" s="74" t="s">
        <v>2117</v>
      </c>
      <c r="G131" s="223"/>
      <c r="H131" s="110"/>
      <c r="J131" s="106"/>
    </row>
    <row r="132" spans="1:10" ht="38.25">
      <c r="A132" s="214"/>
      <c r="B132" s="113" t="s">
        <v>385</v>
      </c>
      <c r="C132" s="114" t="s">
        <v>1626</v>
      </c>
      <c r="D132" s="109">
        <f>+'Alimentazione CE Ricavi'!K175</f>
        <v>8034.14</v>
      </c>
      <c r="E132" s="109">
        <f>+'Alimentazione CE Ricavi'!N175</f>
        <v>0</v>
      </c>
      <c r="F132" s="74"/>
      <c r="G132" s="223"/>
      <c r="H132" s="110"/>
      <c r="J132" s="106"/>
    </row>
    <row r="133" spans="1:10" ht="25.5">
      <c r="A133" s="214"/>
      <c r="B133" s="113" t="s">
        <v>387</v>
      </c>
      <c r="C133" s="114" t="s">
        <v>1627</v>
      </c>
      <c r="D133" s="109">
        <f>+'Alimentazione CE Ricavi'!K176</f>
        <v>0</v>
      </c>
      <c r="E133" s="109">
        <f>+'Alimentazione CE Ricavi'!N176</f>
        <v>0</v>
      </c>
      <c r="F133" s="74"/>
      <c r="G133" s="223"/>
      <c r="H133" s="110"/>
      <c r="J133" s="106"/>
    </row>
    <row r="134" spans="1:10" ht="25.5">
      <c r="A134" s="214"/>
      <c r="B134" s="113" t="s">
        <v>389</v>
      </c>
      <c r="C134" s="114" t="s">
        <v>1628</v>
      </c>
      <c r="D134" s="109">
        <f>+ROUND(SUM('Alimentazione CE Ricavi'!K178:K183),2)</f>
        <v>103098.56</v>
      </c>
      <c r="E134" s="109">
        <f>+ROUND(SUM('Alimentazione CE Ricavi'!N178:N183),2)</f>
        <v>168875.08</v>
      </c>
      <c r="F134" s="74"/>
      <c r="G134" s="223"/>
      <c r="H134" s="110"/>
      <c r="J134" s="106"/>
    </row>
    <row r="135" spans="1:10" ht="18.75">
      <c r="A135" s="214"/>
      <c r="B135" s="133" t="s">
        <v>396</v>
      </c>
      <c r="C135" s="134" t="s">
        <v>1629</v>
      </c>
      <c r="D135" s="132">
        <f t="shared" ref="D135" si="44">+D136+D140+D141</f>
        <v>1723557.94</v>
      </c>
      <c r="E135" s="132">
        <f t="shared" ref="E135" si="45">+E136+E140+E141</f>
        <v>309793.5</v>
      </c>
      <c r="F135" s="74" t="s">
        <v>2117</v>
      </c>
      <c r="G135" s="223"/>
      <c r="H135" s="110"/>
      <c r="J135" s="106"/>
    </row>
    <row r="136" spans="1:10" ht="18.75">
      <c r="A136" s="214"/>
      <c r="B136" s="150" t="s">
        <v>398</v>
      </c>
      <c r="C136" s="151" t="s">
        <v>1630</v>
      </c>
      <c r="D136" s="152">
        <f t="shared" ref="D136" si="46">+D137+D138+D139</f>
        <v>1590601.18</v>
      </c>
      <c r="E136" s="152">
        <f t="shared" ref="E136" si="47">+E137+E138+E139</f>
        <v>184539.93</v>
      </c>
      <c r="F136" s="74" t="s">
        <v>2117</v>
      </c>
      <c r="G136" s="224"/>
      <c r="H136" s="110"/>
      <c r="J136" s="106"/>
    </row>
    <row r="137" spans="1:10" ht="25.5">
      <c r="A137" s="214"/>
      <c r="B137" s="115" t="s">
        <v>400</v>
      </c>
      <c r="C137" s="116" t="s">
        <v>1631</v>
      </c>
      <c r="D137" s="109">
        <f>+'Alimentazione CE Ricavi'!K186</f>
        <v>0</v>
      </c>
      <c r="E137" s="109">
        <f>+'Alimentazione CE Ricavi'!N186</f>
        <v>0</v>
      </c>
      <c r="F137" s="74"/>
      <c r="G137" s="223"/>
      <c r="H137" s="110"/>
      <c r="J137" s="106"/>
    </row>
    <row r="138" spans="1:10" ht="25.5">
      <c r="A138" s="214"/>
      <c r="B138" s="115" t="s">
        <v>402</v>
      </c>
      <c r="C138" s="116" t="s">
        <v>1632</v>
      </c>
      <c r="D138" s="109">
        <f>+'Alimentazione CE Ricavi'!K187</f>
        <v>1498960.7</v>
      </c>
      <c r="E138" s="109">
        <f>+'Alimentazione CE Ricavi'!N187</f>
        <v>157696.34</v>
      </c>
      <c r="F138" s="74"/>
      <c r="G138" s="223"/>
      <c r="H138" s="110"/>
      <c r="J138" s="106"/>
    </row>
    <row r="139" spans="1:10" ht="18.75">
      <c r="A139" s="214"/>
      <c r="B139" s="115" t="s">
        <v>404</v>
      </c>
      <c r="C139" s="116" t="s">
        <v>1633</v>
      </c>
      <c r="D139" s="109">
        <f>+'Alimentazione CE Ricavi'!K188</f>
        <v>91640.48</v>
      </c>
      <c r="E139" s="109">
        <f>+'Alimentazione CE Ricavi'!N188</f>
        <v>26843.59</v>
      </c>
      <c r="F139" s="74"/>
      <c r="G139" s="223"/>
      <c r="H139" s="110"/>
      <c r="J139" s="106"/>
    </row>
    <row r="140" spans="1:10" ht="18.75">
      <c r="A140" s="216"/>
      <c r="B140" s="113" t="s">
        <v>406</v>
      </c>
      <c r="C140" s="114" t="s">
        <v>1634</v>
      </c>
      <c r="D140" s="109">
        <f>+'Alimentazione CE Ricavi'!K189</f>
        <v>0</v>
      </c>
      <c r="E140" s="109">
        <f>+'Alimentazione CE Ricavi'!N189</f>
        <v>0</v>
      </c>
      <c r="F140" s="355"/>
      <c r="G140" s="223"/>
      <c r="H140" s="110"/>
      <c r="J140" s="106"/>
    </row>
    <row r="141" spans="1:10" ht="18.75">
      <c r="A141" s="216"/>
      <c r="B141" s="113" t="s">
        <v>408</v>
      </c>
      <c r="C141" s="114" t="s">
        <v>1635</v>
      </c>
      <c r="D141" s="109">
        <f>+ROUND(SUM('Alimentazione CE Ricavi'!K191:K203),2)</f>
        <v>132956.76</v>
      </c>
      <c r="E141" s="109">
        <f>+ROUND(SUM('Alimentazione CE Ricavi'!N191:N203),2)</f>
        <v>125253.57</v>
      </c>
      <c r="F141" s="355"/>
      <c r="G141" s="223"/>
      <c r="H141" s="110"/>
      <c r="J141" s="106"/>
    </row>
    <row r="142" spans="1:10" ht="25.5">
      <c r="A142" s="216"/>
      <c r="B142" s="138" t="s">
        <v>422</v>
      </c>
      <c r="C142" s="139" t="s">
        <v>1636</v>
      </c>
      <c r="D142" s="140">
        <f t="shared" ref="D142" si="48">+D143+D144+D145</f>
        <v>1874059.05</v>
      </c>
      <c r="E142" s="140">
        <f t="shared" ref="E142" si="49">+E143+E144+E145</f>
        <v>1808257.95</v>
      </c>
      <c r="F142" s="74" t="s">
        <v>2117</v>
      </c>
      <c r="G142" s="223"/>
      <c r="H142" s="110"/>
      <c r="J142" s="106"/>
    </row>
    <row r="143" spans="1:10" ht="38.25">
      <c r="A143" s="216"/>
      <c r="B143" s="111" t="s">
        <v>423</v>
      </c>
      <c r="C143" s="112" t="s">
        <v>1637</v>
      </c>
      <c r="D143" s="109">
        <f>+'Alimentazione CE Ricavi'!K205</f>
        <v>1857950.3</v>
      </c>
      <c r="E143" s="109">
        <f>+'Alimentazione CE Ricavi'!N205</f>
        <v>1792592.55</v>
      </c>
      <c r="F143" s="355"/>
      <c r="G143" s="223"/>
      <c r="H143" s="110"/>
      <c r="J143" s="106"/>
    </row>
    <row r="144" spans="1:10" ht="25.5">
      <c r="A144" s="214"/>
      <c r="B144" s="111" t="s">
        <v>425</v>
      </c>
      <c r="C144" s="112" t="s">
        <v>1638</v>
      </c>
      <c r="D144" s="109">
        <f>+'Alimentazione CE Ricavi'!K206</f>
        <v>16108.75</v>
      </c>
      <c r="E144" s="109">
        <f>+'Alimentazione CE Ricavi'!N206</f>
        <v>15665.4</v>
      </c>
      <c r="F144" s="74"/>
      <c r="G144" s="223"/>
      <c r="H144" s="110"/>
      <c r="J144" s="106"/>
    </row>
    <row r="145" spans="1:10" ht="25.5">
      <c r="A145" s="214"/>
      <c r="B145" s="111" t="s">
        <v>427</v>
      </c>
      <c r="C145" s="112" t="s">
        <v>1639</v>
      </c>
      <c r="D145" s="109">
        <f>+'Alimentazione CE Ricavi'!K207</f>
        <v>0</v>
      </c>
      <c r="E145" s="109">
        <f>+'Alimentazione CE Ricavi'!N207</f>
        <v>0</v>
      </c>
      <c r="F145" s="74"/>
      <c r="G145" s="223"/>
      <c r="H145" s="110"/>
      <c r="J145" s="106"/>
    </row>
    <row r="146" spans="1:10" ht="25.5">
      <c r="A146" s="214"/>
      <c r="B146" s="138" t="s">
        <v>429</v>
      </c>
      <c r="C146" s="139" t="s">
        <v>1640</v>
      </c>
      <c r="D146" s="140">
        <f t="shared" ref="D146" si="50">+D147+D148+D149+D150+D151+D152</f>
        <v>3581393.39</v>
      </c>
      <c r="E146" s="140">
        <f t="shared" ref="E146" si="51">+E147+E148+E149+E150+E151+E152</f>
        <v>3507990.9099999997</v>
      </c>
      <c r="F146" s="74" t="s">
        <v>2117</v>
      </c>
      <c r="G146" s="223"/>
      <c r="H146" s="110"/>
      <c r="J146" s="106"/>
    </row>
    <row r="147" spans="1:10" ht="25.5">
      <c r="A147" s="214"/>
      <c r="B147" s="111" t="s">
        <v>431</v>
      </c>
      <c r="C147" s="112" t="s">
        <v>1641</v>
      </c>
      <c r="D147" s="109">
        <f>+'Alimentazione CE Ricavi'!K209</f>
        <v>547166.46</v>
      </c>
      <c r="E147" s="109">
        <f>+'Alimentazione CE Ricavi'!N209</f>
        <v>567987.67000000004</v>
      </c>
      <c r="F147" s="74"/>
      <c r="G147" s="223"/>
      <c r="H147" s="110"/>
      <c r="J147" s="106"/>
    </row>
    <row r="148" spans="1:10" ht="25.5">
      <c r="A148" s="214"/>
      <c r="B148" s="111" t="s">
        <v>433</v>
      </c>
      <c r="C148" s="112" t="s">
        <v>1642</v>
      </c>
      <c r="D148" s="109">
        <f>+'Alimentazione CE Ricavi'!K210</f>
        <v>2130240.71</v>
      </c>
      <c r="E148" s="109">
        <f>+'Alimentazione CE Ricavi'!N210</f>
        <v>2100716.1</v>
      </c>
      <c r="F148" s="74"/>
      <c r="G148" s="223"/>
      <c r="H148" s="110"/>
      <c r="J148" s="106"/>
    </row>
    <row r="149" spans="1:10" ht="25.5">
      <c r="A149" s="214"/>
      <c r="B149" s="111" t="s">
        <v>435</v>
      </c>
      <c r="C149" s="112" t="s">
        <v>1643</v>
      </c>
      <c r="D149" s="109">
        <f>+'Alimentazione CE Ricavi'!K211</f>
        <v>178512.48</v>
      </c>
      <c r="E149" s="109">
        <f>+'Alimentazione CE Ricavi'!N211</f>
        <v>182378.96</v>
      </c>
      <c r="F149" s="74"/>
      <c r="G149" s="223"/>
      <c r="H149" s="110"/>
      <c r="J149" s="106"/>
    </row>
    <row r="150" spans="1:10" ht="25.5">
      <c r="A150" s="214"/>
      <c r="B150" s="111" t="s">
        <v>437</v>
      </c>
      <c r="C150" s="112" t="s">
        <v>1644</v>
      </c>
      <c r="D150" s="109">
        <f>+'Alimentazione CE Ricavi'!K212</f>
        <v>8533.74</v>
      </c>
      <c r="E150" s="109">
        <f>+'Alimentazione CE Ricavi'!N212</f>
        <v>4266.84</v>
      </c>
      <c r="F150" s="74"/>
      <c r="G150" s="223"/>
      <c r="H150" s="110"/>
      <c r="J150" s="106"/>
    </row>
    <row r="151" spans="1:10" ht="25.5">
      <c r="A151" s="214"/>
      <c r="B151" s="111" t="s">
        <v>439</v>
      </c>
      <c r="C151" s="112" t="s">
        <v>1645</v>
      </c>
      <c r="D151" s="109">
        <f>+'Alimentazione CE Ricavi'!K213</f>
        <v>1094.04</v>
      </c>
      <c r="E151" s="109">
        <f>+'Alimentazione CE Ricavi'!N213</f>
        <v>3016.11</v>
      </c>
      <c r="F151" s="74"/>
      <c r="G151" s="223"/>
      <c r="H151" s="110"/>
      <c r="J151" s="106"/>
    </row>
    <row r="152" spans="1:10" ht="25.5">
      <c r="A152" s="214"/>
      <c r="B152" s="111" t="s">
        <v>441</v>
      </c>
      <c r="C152" s="112" t="s">
        <v>1646</v>
      </c>
      <c r="D152" s="109">
        <f>+'Alimentazione CE Ricavi'!K214</f>
        <v>715845.96</v>
      </c>
      <c r="E152" s="109">
        <f>+'Alimentazione CE Ricavi'!N214</f>
        <v>649625.23</v>
      </c>
      <c r="F152" s="74"/>
      <c r="G152" s="223"/>
      <c r="H152" s="110"/>
      <c r="J152" s="106"/>
    </row>
    <row r="153" spans="1:10" ht="25.5">
      <c r="A153" s="214"/>
      <c r="B153" s="138" t="s">
        <v>442</v>
      </c>
      <c r="C153" s="139" t="s">
        <v>1647</v>
      </c>
      <c r="D153" s="140">
        <f>+'Alimentazione CE Ricavi'!K215</f>
        <v>24120.9</v>
      </c>
      <c r="E153" s="140">
        <f>+'Alimentazione CE Ricavi'!N215</f>
        <v>27540.19</v>
      </c>
      <c r="F153" s="74"/>
      <c r="G153" s="223"/>
      <c r="H153" s="110"/>
      <c r="J153" s="106"/>
    </row>
    <row r="154" spans="1:10" ht="18.75">
      <c r="A154" s="214"/>
      <c r="B154" s="138" t="s">
        <v>443</v>
      </c>
      <c r="C154" s="139" t="s">
        <v>1648</v>
      </c>
      <c r="D154" s="140">
        <f t="shared" ref="D154" si="52">+D155+D156+D157</f>
        <v>108449.96</v>
      </c>
      <c r="E154" s="140">
        <f t="shared" ref="E154" si="53">+E155+E156+E157</f>
        <v>122631.07</v>
      </c>
      <c r="F154" s="74" t="s">
        <v>2117</v>
      </c>
      <c r="G154" s="223"/>
      <c r="H154" s="110"/>
      <c r="J154" s="106"/>
    </row>
    <row r="155" spans="1:10" ht="18.75">
      <c r="A155" s="214"/>
      <c r="B155" s="111" t="s">
        <v>445</v>
      </c>
      <c r="C155" s="112" t="s">
        <v>1649</v>
      </c>
      <c r="D155" s="109">
        <f>+'Alimentazione CE Ricavi'!K218+'Alimentazione CE Ricavi'!K219+'Alimentazione CE Ricavi'!K220</f>
        <v>0</v>
      </c>
      <c r="E155" s="109">
        <f>+'Alimentazione CE Ricavi'!N218+'Alimentazione CE Ricavi'!N219+'Alimentazione CE Ricavi'!N220</f>
        <v>0</v>
      </c>
      <c r="F155" s="74"/>
      <c r="G155" s="223"/>
      <c r="H155" s="110"/>
      <c r="J155" s="106"/>
    </row>
    <row r="156" spans="1:10" ht="25.5">
      <c r="A156" s="214"/>
      <c r="B156" s="111" t="s">
        <v>450</v>
      </c>
      <c r="C156" s="112" t="s">
        <v>1650</v>
      </c>
      <c r="D156" s="109">
        <f>+'Alimentazione CE Ricavi'!K222+'Alimentazione CE Ricavi'!K223+'Alimentazione CE Ricavi'!K224</f>
        <v>0</v>
      </c>
      <c r="E156" s="109">
        <f>+'Alimentazione CE Ricavi'!N222+'Alimentazione CE Ricavi'!N223+'Alimentazione CE Ricavi'!N224</f>
        <v>0</v>
      </c>
      <c r="F156" s="74"/>
      <c r="G156" s="223"/>
      <c r="H156" s="110"/>
      <c r="J156" s="106"/>
    </row>
    <row r="157" spans="1:10" ht="18.75">
      <c r="A157" s="214"/>
      <c r="B157" s="111" t="s">
        <v>455</v>
      </c>
      <c r="C157" s="112" t="s">
        <v>1651</v>
      </c>
      <c r="D157" s="109">
        <f>+'Alimentazione CE Ricavi'!K226+'Alimentazione CE Ricavi'!K227+'Alimentazione CE Ricavi'!K228</f>
        <v>108449.96</v>
      </c>
      <c r="E157" s="109">
        <f>+'Alimentazione CE Ricavi'!N226+'Alimentazione CE Ricavi'!N227+'Alimentazione CE Ricavi'!N228</f>
        <v>122631.07</v>
      </c>
      <c r="F157" s="74"/>
      <c r="G157" s="223"/>
      <c r="H157" s="110"/>
      <c r="J157" s="106"/>
    </row>
    <row r="158" spans="1:10" ht="18.75">
      <c r="A158" s="214"/>
      <c r="B158" s="141" t="s">
        <v>1652</v>
      </c>
      <c r="C158" s="142" t="s">
        <v>1653</v>
      </c>
      <c r="D158" s="143">
        <f t="shared" ref="D158" si="54">+D154+D153+D146+D142+D121+D66+D60+D57+D26</f>
        <v>105114566.69</v>
      </c>
      <c r="E158" s="143">
        <f t="shared" ref="E158" si="55">+E154+E153+E146+E142+E121+E66+E60+E57+E26</f>
        <v>98187845.00999999</v>
      </c>
      <c r="F158" s="74" t="s">
        <v>2117</v>
      </c>
      <c r="G158" s="223"/>
      <c r="H158" s="110"/>
      <c r="J158" s="106"/>
    </row>
    <row r="159" spans="1:10" ht="18.75">
      <c r="A159" s="214"/>
      <c r="B159" s="154"/>
      <c r="C159" s="158" t="s">
        <v>1654</v>
      </c>
      <c r="D159" s="156"/>
      <c r="E159" s="156"/>
      <c r="F159" s="74"/>
      <c r="G159" s="223"/>
      <c r="H159" s="110"/>
      <c r="J159" s="106"/>
    </row>
    <row r="160" spans="1:10" ht="18.75">
      <c r="A160" s="214"/>
      <c r="B160" s="138" t="s">
        <v>536</v>
      </c>
      <c r="C160" s="139" t="s">
        <v>1655</v>
      </c>
      <c r="D160" s="140">
        <f>+D161+D191</f>
        <v>13045666.750000002</v>
      </c>
      <c r="E160" s="140">
        <f>+E161+E191</f>
        <v>12973371.039999999</v>
      </c>
      <c r="F160" s="74" t="s">
        <v>2117</v>
      </c>
      <c r="G160" s="223"/>
      <c r="H160" s="110"/>
      <c r="J160" s="106"/>
    </row>
    <row r="161" spans="1:10" ht="18.75">
      <c r="A161" s="214"/>
      <c r="B161" s="133" t="s">
        <v>538</v>
      </c>
      <c r="C161" s="134" t="s">
        <v>1656</v>
      </c>
      <c r="D161" s="132">
        <f t="shared" ref="D161" si="56">+D162+D170+D174+D178+D179+D180+D181+D182+D183</f>
        <v>12629670.780000001</v>
      </c>
      <c r="E161" s="132">
        <f t="shared" ref="E161" si="57">+E162+E170+E174+E178+E179+E180+E181+E182+E183</f>
        <v>12480843.02</v>
      </c>
      <c r="F161" s="74" t="s">
        <v>2117</v>
      </c>
      <c r="G161" s="223"/>
      <c r="H161" s="110"/>
      <c r="J161" s="106"/>
    </row>
    <row r="162" spans="1:10" ht="18.75">
      <c r="A162" s="214"/>
      <c r="B162" s="144" t="s">
        <v>540</v>
      </c>
      <c r="C162" s="145" t="s">
        <v>1657</v>
      </c>
      <c r="D162" s="146">
        <f t="shared" ref="D162" si="58">SUM(D163:D166)</f>
        <v>471445.3</v>
      </c>
      <c r="E162" s="146">
        <f t="shared" ref="E162" si="59">SUM(E163:E166)</f>
        <v>602693.18999999994</v>
      </c>
      <c r="F162" s="74" t="s">
        <v>2117</v>
      </c>
      <c r="G162" s="223"/>
      <c r="H162" s="110"/>
      <c r="J162" s="106"/>
    </row>
    <row r="163" spans="1:10" ht="38.25">
      <c r="A163" s="216"/>
      <c r="B163" s="115" t="s">
        <v>542</v>
      </c>
      <c r="C163" s="116" t="s">
        <v>1658</v>
      </c>
      <c r="D163" s="109">
        <f>ROUND('Alimentazione CE Costi'!K6+'Alimentazione CE Costi'!K7,2)</f>
        <v>337975.75</v>
      </c>
      <c r="E163" s="109">
        <f>ROUND('Alimentazione CE Costi'!N6+'Alimentazione CE Costi'!N7,2)</f>
        <v>465863.17</v>
      </c>
      <c r="F163" s="355"/>
      <c r="G163" s="223"/>
      <c r="H163" s="110"/>
      <c r="J163" s="106"/>
    </row>
    <row r="164" spans="1:10" ht="18.75">
      <c r="A164" s="216"/>
      <c r="B164" s="115" t="s">
        <v>545</v>
      </c>
      <c r="C164" s="116" t="s">
        <v>1659</v>
      </c>
      <c r="D164" s="109">
        <f>ROUND('Alimentazione CE Costi'!K8+'Alimentazione CE Costi'!K9,2)</f>
        <v>22955.06</v>
      </c>
      <c r="E164" s="109">
        <f>ROUND('Alimentazione CE Costi'!N8+'Alimentazione CE Costi'!N9,2)</f>
        <v>29988.34</v>
      </c>
      <c r="F164" s="355"/>
      <c r="G164" s="223"/>
      <c r="H164" s="110"/>
      <c r="J164" s="106"/>
    </row>
    <row r="165" spans="1:10" ht="18.75">
      <c r="A165" s="216"/>
      <c r="B165" s="115" t="s">
        <v>547</v>
      </c>
      <c r="C165" s="116" t="s">
        <v>1660</v>
      </c>
      <c r="D165" s="109">
        <f>ROUND('Alimentazione CE Costi'!K10,2)</f>
        <v>110514.49</v>
      </c>
      <c r="E165" s="109">
        <f>ROUND('Alimentazione CE Costi'!N10,2)</f>
        <v>106841.68</v>
      </c>
      <c r="F165" s="355"/>
      <c r="G165" s="223"/>
      <c r="H165" s="110"/>
      <c r="J165" s="106"/>
    </row>
    <row r="166" spans="1:10" ht="18.75">
      <c r="A166" s="214"/>
      <c r="B166" s="147" t="s">
        <v>549</v>
      </c>
      <c r="C166" s="148" t="s">
        <v>1661</v>
      </c>
      <c r="D166" s="149">
        <f t="shared" ref="D166" si="60">SUM(D167:D169)</f>
        <v>0</v>
      </c>
      <c r="E166" s="149">
        <f t="shared" ref="E166" si="61">SUM(E167:E169)</f>
        <v>0</v>
      </c>
      <c r="F166" s="74" t="s">
        <v>2117</v>
      </c>
      <c r="G166" s="223"/>
      <c r="H166" s="110"/>
      <c r="J166" s="106"/>
    </row>
    <row r="167" spans="1:10" ht="38.25">
      <c r="A167" s="216" t="s">
        <v>1529</v>
      </c>
      <c r="B167" s="115" t="s">
        <v>551</v>
      </c>
      <c r="C167" s="116" t="s">
        <v>1662</v>
      </c>
      <c r="D167" s="109">
        <f>ROUND('Alimentazione CE Costi'!K12,2)</f>
        <v>0</v>
      </c>
      <c r="E167" s="109">
        <f>ROUND('Alimentazione CE Costi'!N12,2)</f>
        <v>0</v>
      </c>
      <c r="F167" s="355"/>
      <c r="G167" s="223"/>
      <c r="H167" s="110"/>
      <c r="J167" s="106"/>
    </row>
    <row r="168" spans="1:10" ht="38.25">
      <c r="A168" s="216" t="s">
        <v>1574</v>
      </c>
      <c r="B168" s="115" t="s">
        <v>553</v>
      </c>
      <c r="C168" s="116" t="s">
        <v>1663</v>
      </c>
      <c r="D168" s="109">
        <f>ROUND('Alimentazione CE Costi'!K13,2)</f>
        <v>0</v>
      </c>
      <c r="E168" s="109">
        <f>ROUND('Alimentazione CE Costi'!N13,2)</f>
        <v>0</v>
      </c>
      <c r="F168" s="355"/>
      <c r="G168" s="223"/>
      <c r="H168" s="110"/>
      <c r="J168" s="106"/>
    </row>
    <row r="169" spans="1:10" ht="25.5">
      <c r="A169" s="216"/>
      <c r="B169" s="115" t="s">
        <v>555</v>
      </c>
      <c r="C169" s="116" t="s">
        <v>1664</v>
      </c>
      <c r="D169" s="109">
        <f>ROUND('Alimentazione CE Costi'!K14,2)</f>
        <v>0</v>
      </c>
      <c r="E169" s="109">
        <f>ROUND('Alimentazione CE Costi'!N14,2)</f>
        <v>0</v>
      </c>
      <c r="F169" s="355"/>
      <c r="G169" s="223"/>
      <c r="H169" s="110"/>
      <c r="J169" s="106"/>
    </row>
    <row r="170" spans="1:10" ht="18.75">
      <c r="A170" s="214"/>
      <c r="B170" s="144" t="s">
        <v>557</v>
      </c>
      <c r="C170" s="145" t="s">
        <v>1665</v>
      </c>
      <c r="D170" s="146">
        <f t="shared" ref="D170" si="62">SUM(D171:D173)</f>
        <v>0</v>
      </c>
      <c r="E170" s="146">
        <f t="shared" ref="E170" si="63">SUM(E171:E173)</f>
        <v>0</v>
      </c>
      <c r="F170" s="74" t="s">
        <v>2117</v>
      </c>
      <c r="G170" s="223"/>
      <c r="H170" s="110"/>
      <c r="J170" s="106"/>
    </row>
    <row r="171" spans="1:10" ht="25.5">
      <c r="A171" s="214" t="s">
        <v>1529</v>
      </c>
      <c r="B171" s="115" t="s">
        <v>559</v>
      </c>
      <c r="C171" s="116" t="s">
        <v>1666</v>
      </c>
      <c r="D171" s="109">
        <f>ROUND('Alimentazione CE Costi'!K16,2)</f>
        <v>0</v>
      </c>
      <c r="E171" s="109">
        <f>ROUND('Alimentazione CE Costi'!N16,2)</f>
        <v>0</v>
      </c>
      <c r="F171" s="74"/>
      <c r="G171" s="223"/>
      <c r="H171" s="110"/>
      <c r="J171" s="106"/>
    </row>
    <row r="172" spans="1:10" ht="25.5">
      <c r="A172" s="214" t="s">
        <v>1574</v>
      </c>
      <c r="B172" s="115" t="s">
        <v>561</v>
      </c>
      <c r="C172" s="116" t="s">
        <v>1667</v>
      </c>
      <c r="D172" s="109">
        <f>ROUND('Alimentazione CE Costi'!K17,2)</f>
        <v>0</v>
      </c>
      <c r="E172" s="109">
        <f>ROUND('Alimentazione CE Costi'!N17,2)</f>
        <v>0</v>
      </c>
      <c r="F172" s="74"/>
      <c r="G172" s="223"/>
      <c r="H172" s="110"/>
      <c r="J172" s="106"/>
    </row>
    <row r="173" spans="1:10" ht="18.75">
      <c r="A173" s="214"/>
      <c r="B173" s="115" t="s">
        <v>563</v>
      </c>
      <c r="C173" s="116" t="s">
        <v>1668</v>
      </c>
      <c r="D173" s="109">
        <f>ROUND('Alimentazione CE Costi'!K18,2)</f>
        <v>0</v>
      </c>
      <c r="E173" s="109">
        <f>ROUND('Alimentazione CE Costi'!N18,2)</f>
        <v>0</v>
      </c>
      <c r="F173" s="74"/>
      <c r="G173" s="223"/>
      <c r="H173" s="110"/>
      <c r="J173" s="106"/>
    </row>
    <row r="174" spans="1:10" ht="18.75">
      <c r="A174" s="214"/>
      <c r="B174" s="144" t="s">
        <v>565</v>
      </c>
      <c r="C174" s="145" t="s">
        <v>1669</v>
      </c>
      <c r="D174" s="146">
        <f t="shared" ref="D174" si="64">SUM(D175:D177)</f>
        <v>5092315.91</v>
      </c>
      <c r="E174" s="146">
        <f t="shared" ref="E174" si="65">SUM(E175:E177)</f>
        <v>6230893.5999999996</v>
      </c>
      <c r="F174" s="357" t="s">
        <v>2117</v>
      </c>
      <c r="G174" s="223"/>
      <c r="H174" s="110"/>
      <c r="J174" s="106"/>
    </row>
    <row r="175" spans="1:10" ht="18.75">
      <c r="A175" s="214"/>
      <c r="B175" s="115" t="s">
        <v>567</v>
      </c>
      <c r="C175" s="116" t="s">
        <v>1670</v>
      </c>
      <c r="D175" s="109">
        <f>ROUND('Alimentazione CE Costi'!K20+'Alimentazione CE Costi'!K21,2)</f>
        <v>2790535.41</v>
      </c>
      <c r="E175" s="109">
        <f>ROUND('Alimentazione CE Costi'!N20+'Alimentazione CE Costi'!N21,2)</f>
        <v>2404190.39</v>
      </c>
      <c r="F175" s="74"/>
      <c r="G175" s="223"/>
      <c r="H175" s="110"/>
      <c r="J175" s="106"/>
    </row>
    <row r="176" spans="1:10" ht="18.75">
      <c r="A176" s="214"/>
      <c r="B176" s="115" t="s">
        <v>569</v>
      </c>
      <c r="C176" s="116" t="s">
        <v>1671</v>
      </c>
      <c r="D176" s="109">
        <f>ROUND('Alimentazione CE Costi'!K22+'Alimentazione CE Costi'!K23,2)</f>
        <v>354536</v>
      </c>
      <c r="E176" s="109">
        <f>ROUND('Alimentazione CE Costi'!N22+'Alimentazione CE Costi'!N23,2)</f>
        <v>242944</v>
      </c>
      <c r="F176" s="74"/>
      <c r="G176" s="223"/>
      <c r="H176" s="110"/>
      <c r="J176" s="106"/>
    </row>
    <row r="177" spans="1:10" ht="18.75">
      <c r="A177" s="214"/>
      <c r="B177" s="115" t="s">
        <v>571</v>
      </c>
      <c r="C177" s="116" t="s">
        <v>1672</v>
      </c>
      <c r="D177" s="109">
        <f>ROUND('Alimentazione CE Costi'!K24+'Alimentazione CE Costi'!K25,2)</f>
        <v>1947244.5</v>
      </c>
      <c r="E177" s="109">
        <f>ROUND('Alimentazione CE Costi'!N24+'Alimentazione CE Costi'!N25,2)</f>
        <v>3583759.21</v>
      </c>
      <c r="F177" s="74"/>
      <c r="G177" s="223"/>
      <c r="H177" s="110"/>
      <c r="J177" s="106"/>
    </row>
    <row r="178" spans="1:10" ht="18.75">
      <c r="A178" s="214"/>
      <c r="B178" s="113" t="s">
        <v>573</v>
      </c>
      <c r="C178" s="114" t="s">
        <v>1673</v>
      </c>
      <c r="D178" s="119">
        <f>ROUND('Alimentazione CE Costi'!K26+'Alimentazione CE Costi'!K27,2)</f>
        <v>3516.83</v>
      </c>
      <c r="E178" s="119">
        <f>ROUND('Alimentazione CE Costi'!N26+'Alimentazione CE Costi'!N27,2)</f>
        <v>2451.59</v>
      </c>
      <c r="F178" s="355"/>
      <c r="G178" s="223"/>
      <c r="H178" s="110"/>
      <c r="J178" s="106"/>
    </row>
    <row r="179" spans="1:10" ht="18.75">
      <c r="A179" s="214"/>
      <c r="B179" s="113" t="s">
        <v>575</v>
      </c>
      <c r="C179" s="114" t="s">
        <v>1674</v>
      </c>
      <c r="D179" s="119">
        <f>ROUND('Alimentazione CE Costi'!K28+'Alimentazione CE Costi'!K29,2)</f>
        <v>467.31</v>
      </c>
      <c r="E179" s="119">
        <f>ROUND('Alimentazione CE Costi'!N28+'Alimentazione CE Costi'!N29,2)</f>
        <v>1169.93</v>
      </c>
      <c r="F179" s="355"/>
      <c r="G179" s="223"/>
      <c r="H179" s="110"/>
      <c r="J179" s="106"/>
    </row>
    <row r="180" spans="1:10" ht="18.75">
      <c r="A180" s="214"/>
      <c r="B180" s="113" t="s">
        <v>577</v>
      </c>
      <c r="C180" s="114" t="s">
        <v>1675</v>
      </c>
      <c r="D180" s="119">
        <f>ROUND('Alimentazione CE Costi'!K30+'Alimentazione CE Costi'!K31,2)</f>
        <v>33232.65</v>
      </c>
      <c r="E180" s="119">
        <f>ROUND('Alimentazione CE Costi'!N30+'Alimentazione CE Costi'!N31,2)</f>
        <v>52453.16</v>
      </c>
      <c r="F180" s="355"/>
      <c r="G180" s="223"/>
      <c r="H180" s="110"/>
      <c r="J180" s="106"/>
    </row>
    <row r="181" spans="1:10" ht="18.75">
      <c r="A181" s="214"/>
      <c r="B181" s="113" t="s">
        <v>579</v>
      </c>
      <c r="C181" s="114" t="s">
        <v>1676</v>
      </c>
      <c r="D181" s="119">
        <f>ROUND('Alimentazione CE Costi'!K32+'Alimentazione CE Costi'!K33,2)</f>
        <v>0</v>
      </c>
      <c r="E181" s="119">
        <f>ROUND('Alimentazione CE Costi'!N32+'Alimentazione CE Costi'!N33,2)</f>
        <v>0</v>
      </c>
      <c r="F181" s="355"/>
      <c r="G181" s="223"/>
      <c r="H181" s="110"/>
      <c r="J181" s="106"/>
    </row>
    <row r="182" spans="1:10" ht="18.75">
      <c r="A182" s="214"/>
      <c r="B182" s="113" t="s">
        <v>581</v>
      </c>
      <c r="C182" s="114" t="s">
        <v>1677</v>
      </c>
      <c r="D182" s="119">
        <f>ROUND('Alimentazione CE Costi'!K34+'Alimentazione CE Costi'!K35,2)</f>
        <v>1913261.63</v>
      </c>
      <c r="E182" s="119">
        <f>ROUND('Alimentazione CE Costi'!N34+'Alimentazione CE Costi'!N35,2)</f>
        <v>724296.78</v>
      </c>
      <c r="F182" s="355"/>
      <c r="G182" s="223"/>
      <c r="H182" s="110"/>
      <c r="J182" s="106"/>
    </row>
    <row r="183" spans="1:10" ht="25.5">
      <c r="A183" s="214" t="s">
        <v>1529</v>
      </c>
      <c r="B183" s="144" t="s">
        <v>583</v>
      </c>
      <c r="C183" s="145" t="s">
        <v>1678</v>
      </c>
      <c r="D183" s="146">
        <f>SUM(D184:D190)</f>
        <v>5115431.1500000004</v>
      </c>
      <c r="E183" s="146">
        <f>SUM(E184:E190)</f>
        <v>4866884.7700000005</v>
      </c>
      <c r="F183" s="355" t="s">
        <v>2117</v>
      </c>
      <c r="G183" s="223"/>
      <c r="J183" s="106"/>
    </row>
    <row r="184" spans="1:10" ht="18.75">
      <c r="A184" s="214" t="s">
        <v>1529</v>
      </c>
      <c r="B184" s="113" t="s">
        <v>584</v>
      </c>
      <c r="C184" s="114" t="s">
        <v>1679</v>
      </c>
      <c r="D184" s="119">
        <f>ROUND('Alimentazione CE Costi'!K37+'Alimentazione CE Costi'!K38+'Alimentazione CE Costi'!K39,2)</f>
        <v>3194139.99</v>
      </c>
      <c r="E184" s="119">
        <f>ROUND('Alimentazione CE Costi'!N37+'Alimentazione CE Costi'!N38+'Alimentazione CE Costi'!N39,2)</f>
        <v>3151360.91</v>
      </c>
      <c r="F184" s="355"/>
      <c r="G184" s="223"/>
      <c r="J184" s="106"/>
    </row>
    <row r="185" spans="1:10" ht="18.75">
      <c r="A185" s="214" t="s">
        <v>1529</v>
      </c>
      <c r="B185" s="113" t="s">
        <v>585</v>
      </c>
      <c r="C185" s="114" t="s">
        <v>1680</v>
      </c>
      <c r="D185" s="119">
        <f>ROUND('Alimentazione CE Costi'!K40+'Alimentazione CE Costi'!K41+'Alimentazione CE Costi'!K42,2)</f>
        <v>1850230.89</v>
      </c>
      <c r="E185" s="119">
        <f>ROUND('Alimentazione CE Costi'!N40+'Alimentazione CE Costi'!N41+'Alimentazione CE Costi'!N42,2)</f>
        <v>1641698.4</v>
      </c>
      <c r="F185" s="355"/>
      <c r="G185" s="223"/>
      <c r="J185" s="106"/>
    </row>
    <row r="186" spans="1:10" ht="18.75">
      <c r="A186" s="214" t="s">
        <v>1529</v>
      </c>
      <c r="B186" s="113" t="s">
        <v>586</v>
      </c>
      <c r="C186" s="114" t="s">
        <v>1681</v>
      </c>
      <c r="D186" s="119">
        <f>ROUND('Alimentazione CE Costi'!K43,2)</f>
        <v>11263.45</v>
      </c>
      <c r="E186" s="119">
        <f>ROUND('Alimentazione CE Costi'!N43,2)</f>
        <v>12327.81</v>
      </c>
      <c r="F186" s="355"/>
      <c r="G186" s="223"/>
      <c r="J186" s="106"/>
    </row>
    <row r="187" spans="1:10" ht="18.75">
      <c r="A187" s="214" t="s">
        <v>1529</v>
      </c>
      <c r="B187" s="113" t="s">
        <v>587</v>
      </c>
      <c r="C187" s="114" t="s">
        <v>1682</v>
      </c>
      <c r="D187" s="119">
        <f>ROUND('Alimentazione CE Costi'!K44,2)</f>
        <v>4673.2</v>
      </c>
      <c r="E187" s="119">
        <f>ROUND('Alimentazione CE Costi'!N44,2)</f>
        <v>11697.9</v>
      </c>
      <c r="F187" s="355"/>
      <c r="G187" s="223"/>
      <c r="J187" s="106"/>
    </row>
    <row r="188" spans="1:10" ht="18.75">
      <c r="A188" s="214" t="s">
        <v>1529</v>
      </c>
      <c r="B188" s="113" t="s">
        <v>588</v>
      </c>
      <c r="C188" s="114" t="s">
        <v>1683</v>
      </c>
      <c r="D188" s="119">
        <f>ROUND('Alimentazione CE Costi'!K45,2)</f>
        <v>2210.4899999999998</v>
      </c>
      <c r="E188" s="119">
        <f>ROUND('Alimentazione CE Costi'!N45,2)</f>
        <v>0</v>
      </c>
      <c r="F188" s="355"/>
      <c r="G188" s="223"/>
      <c r="J188" s="106"/>
    </row>
    <row r="189" spans="1:10" ht="18.75">
      <c r="A189" s="214" t="s">
        <v>1529</v>
      </c>
      <c r="B189" s="113" t="s">
        <v>589</v>
      </c>
      <c r="C189" s="114" t="s">
        <v>1684</v>
      </c>
      <c r="D189" s="119">
        <f>ROUND('Alimentazione CE Costi'!K46,2)</f>
        <v>0</v>
      </c>
      <c r="E189" s="119">
        <f>ROUND('Alimentazione CE Costi'!N46,2)</f>
        <v>0</v>
      </c>
      <c r="F189" s="355"/>
      <c r="G189" s="223"/>
      <c r="J189" s="106"/>
    </row>
    <row r="190" spans="1:10" ht="18.75">
      <c r="A190" s="214" t="s">
        <v>1529</v>
      </c>
      <c r="B190" s="113" t="s">
        <v>591</v>
      </c>
      <c r="C190" s="114" t="s">
        <v>1685</v>
      </c>
      <c r="D190" s="119">
        <f>ROUND('Alimentazione CE Costi'!K47,2)</f>
        <v>52913.13</v>
      </c>
      <c r="E190" s="119">
        <f>ROUND('Alimentazione CE Costi'!N47,2)</f>
        <v>49799.75</v>
      </c>
      <c r="F190" s="355"/>
      <c r="G190" s="223"/>
      <c r="J190" s="106"/>
    </row>
    <row r="191" spans="1:10" ht="18.75">
      <c r="A191" s="214"/>
      <c r="B191" s="133" t="s">
        <v>593</v>
      </c>
      <c r="C191" s="134" t="s">
        <v>1686</v>
      </c>
      <c r="D191" s="132">
        <f t="shared" ref="D191" si="66">SUM(D192:D198)</f>
        <v>415995.97</v>
      </c>
      <c r="E191" s="132">
        <f t="shared" ref="E191" si="67">SUM(E192:E198)</f>
        <v>492528.02</v>
      </c>
      <c r="F191" s="74" t="s">
        <v>2117</v>
      </c>
      <c r="G191" s="223"/>
      <c r="H191" s="110"/>
      <c r="J191" s="106"/>
    </row>
    <row r="192" spans="1:10" ht="18.75">
      <c r="A192" s="214"/>
      <c r="B192" s="113" t="s">
        <v>595</v>
      </c>
      <c r="C192" s="114" t="s">
        <v>1687</v>
      </c>
      <c r="D192" s="109">
        <f>ROUND('Alimentazione CE Costi'!K49+'Alimentazione CE Costi'!K50,2)</f>
        <v>4979.68</v>
      </c>
      <c r="E192" s="109">
        <f>ROUND('Alimentazione CE Costi'!N49+'Alimentazione CE Costi'!N50,2)</f>
        <v>5947.73</v>
      </c>
      <c r="F192" s="74"/>
      <c r="G192" s="223"/>
      <c r="H192" s="110"/>
      <c r="J192" s="106"/>
    </row>
    <row r="193" spans="1:10" ht="25.5">
      <c r="A193" s="214"/>
      <c r="B193" s="113" t="s">
        <v>597</v>
      </c>
      <c r="C193" s="114" t="s">
        <v>1688</v>
      </c>
      <c r="D193" s="109">
        <f>ROUND('Alimentazione CE Costi'!K51+'Alimentazione CE Costi'!K52,2)</f>
        <v>24442.09</v>
      </c>
      <c r="E193" s="109">
        <f>ROUND('Alimentazione CE Costi'!N51+'Alimentazione CE Costi'!N52,2)</f>
        <v>34136.080000000002</v>
      </c>
      <c r="F193" s="74"/>
      <c r="G193" s="223"/>
      <c r="H193" s="110"/>
      <c r="J193" s="106"/>
    </row>
    <row r="194" spans="1:10" ht="18.75">
      <c r="A194" s="214"/>
      <c r="B194" s="113" t="s">
        <v>599</v>
      </c>
      <c r="C194" s="114" t="s">
        <v>1689</v>
      </c>
      <c r="D194" s="109">
        <f>ROUND('Alimentazione CE Costi'!K53+'Alimentazione CE Costi'!K54,2)</f>
        <v>6659.25</v>
      </c>
      <c r="E194" s="109">
        <f>ROUND('Alimentazione CE Costi'!N53+'Alimentazione CE Costi'!N54,2)</f>
        <v>7621.03</v>
      </c>
      <c r="F194" s="74"/>
      <c r="G194" s="223"/>
      <c r="H194" s="110"/>
      <c r="J194" s="106"/>
    </row>
    <row r="195" spans="1:10" ht="18.75">
      <c r="A195" s="214"/>
      <c r="B195" s="113" t="s">
        <v>601</v>
      </c>
      <c r="C195" s="114" t="s">
        <v>1690</v>
      </c>
      <c r="D195" s="109">
        <f>ROUND('Alimentazione CE Costi'!K56+'Alimentazione CE Costi'!K57+'Alimentazione CE Costi'!K58+'Alimentazione CE Costi'!K59,2)</f>
        <v>165471.54</v>
      </c>
      <c r="E195" s="109">
        <f>ROUND('Alimentazione CE Costi'!N56+'Alimentazione CE Costi'!N57+'Alimentazione CE Costi'!N58+'Alimentazione CE Costi'!N59,2)</f>
        <v>158274.79</v>
      </c>
      <c r="F195" s="74"/>
      <c r="G195" s="223"/>
      <c r="H195" s="110"/>
      <c r="J195" s="106"/>
    </row>
    <row r="196" spans="1:10" ht="18.75">
      <c r="A196" s="214"/>
      <c r="B196" s="113" t="s">
        <v>606</v>
      </c>
      <c r="C196" s="114" t="s">
        <v>1691</v>
      </c>
      <c r="D196" s="109">
        <f>ROUND('Alimentazione CE Costi'!K61+'Alimentazione CE Costi'!K62+'Alimentazione CE Costi'!K63,2)</f>
        <v>12203.01</v>
      </c>
      <c r="E196" s="109">
        <f>ROUND('Alimentazione CE Costi'!N61+'Alimentazione CE Costi'!N62+'Alimentazione CE Costi'!N63,2)</f>
        <v>11430.74</v>
      </c>
      <c r="F196" s="74"/>
      <c r="G196" s="223"/>
      <c r="H196" s="110"/>
      <c r="J196" s="106"/>
    </row>
    <row r="197" spans="1:10" ht="18.75">
      <c r="A197" s="214"/>
      <c r="B197" s="113" t="s">
        <v>610</v>
      </c>
      <c r="C197" s="114" t="s">
        <v>1692</v>
      </c>
      <c r="D197" s="109">
        <f>+ROUND('Alimentazione CE Costi'!K64+'Alimentazione CE Costi'!K65,2)</f>
        <v>59699.25</v>
      </c>
      <c r="E197" s="109">
        <f>+ROUND('Alimentazione CE Costi'!N64+'Alimentazione CE Costi'!N65,2)</f>
        <v>97991.78</v>
      </c>
      <c r="F197" s="74"/>
      <c r="G197" s="223"/>
      <c r="H197" s="110"/>
      <c r="J197" s="106"/>
    </row>
    <row r="198" spans="1:10" ht="25.5">
      <c r="A198" s="214" t="s">
        <v>1529</v>
      </c>
      <c r="B198" s="113" t="s">
        <v>612</v>
      </c>
      <c r="C198" s="114" t="s">
        <v>1693</v>
      </c>
      <c r="D198" s="109">
        <f>ROUND(SUM('Alimentazione CE Costi'!K67:K72),2)</f>
        <v>142541.15</v>
      </c>
      <c r="E198" s="109">
        <f>ROUND(SUM('Alimentazione CE Costi'!N67:N72),2)</f>
        <v>177125.87</v>
      </c>
      <c r="F198" s="74"/>
      <c r="G198" s="223"/>
      <c r="H198" s="110"/>
      <c r="J198" s="106"/>
    </row>
    <row r="199" spans="1:10" ht="18.75">
      <c r="A199" s="214"/>
      <c r="B199" s="138" t="s">
        <v>615</v>
      </c>
      <c r="C199" s="139" t="s">
        <v>1694</v>
      </c>
      <c r="D199" s="140">
        <f t="shared" ref="D199" si="68">+D200+D330</f>
        <v>21537157.839999996</v>
      </c>
      <c r="E199" s="140">
        <f t="shared" ref="E199" si="69">+E200+E330</f>
        <v>19824239.710000001</v>
      </c>
      <c r="F199" s="74" t="s">
        <v>2117</v>
      </c>
      <c r="G199" s="223"/>
      <c r="H199" s="110"/>
      <c r="J199" s="106"/>
    </row>
    <row r="200" spans="1:10" ht="18.75">
      <c r="A200" s="214"/>
      <c r="B200" s="133" t="s">
        <v>617</v>
      </c>
      <c r="C200" s="134" t="s">
        <v>1695</v>
      </c>
      <c r="D200" s="132">
        <f t="shared" ref="D200" si="70">+D201+D209+D213+D232+D238+D243+D248+D258+D264+D271+D277+D282+D291+D299+D307+D321+D329</f>
        <v>9296614.0999999996</v>
      </c>
      <c r="E200" s="132">
        <f t="shared" ref="E200" si="71">+E201+E209+E213+E232+E238+E243+E248+E258+E264+E271+E277+E282+E291+E299+E307+E321+E329</f>
        <v>8171985.5299999993</v>
      </c>
      <c r="F200" s="74" t="s">
        <v>2117</v>
      </c>
      <c r="G200" s="223"/>
      <c r="H200" s="110"/>
      <c r="J200" s="106"/>
    </row>
    <row r="201" spans="1:10" ht="25.5">
      <c r="A201" s="214"/>
      <c r="B201" s="159" t="s">
        <v>619</v>
      </c>
      <c r="C201" s="160" t="s">
        <v>1696</v>
      </c>
      <c r="D201" s="146">
        <f t="shared" ref="D201" si="72">+D202+D207+D208</f>
        <v>0</v>
      </c>
      <c r="E201" s="146">
        <f t="shared" ref="E201" si="73">+E202+E207+E208</f>
        <v>0</v>
      </c>
      <c r="F201" s="74" t="s">
        <v>2117</v>
      </c>
      <c r="G201" s="223"/>
      <c r="H201" s="110"/>
      <c r="J201" s="106"/>
    </row>
    <row r="202" spans="1:10" ht="18.75">
      <c r="A202" s="214"/>
      <c r="B202" s="150" t="s">
        <v>621</v>
      </c>
      <c r="C202" s="151" t="s">
        <v>1697</v>
      </c>
      <c r="D202" s="149">
        <f t="shared" ref="D202" si="74">SUM(D203:D206)</f>
        <v>0</v>
      </c>
      <c r="E202" s="149">
        <f t="shared" ref="E202" si="75">SUM(E203:E206)</f>
        <v>0</v>
      </c>
      <c r="F202" s="74" t="s">
        <v>2117</v>
      </c>
      <c r="G202" s="223"/>
      <c r="H202" s="110"/>
      <c r="J202" s="106"/>
    </row>
    <row r="203" spans="1:10" ht="18.75">
      <c r="A203" s="214"/>
      <c r="B203" s="113" t="s">
        <v>623</v>
      </c>
      <c r="C203" s="114" t="s">
        <v>1698</v>
      </c>
      <c r="D203" s="109">
        <f>+ROUND(SUM('Alimentazione CE Costi'!K78:K88),2)</f>
        <v>0</v>
      </c>
      <c r="E203" s="109">
        <f>+ROUND(SUM('Alimentazione CE Costi'!N78:N88),2)</f>
        <v>0</v>
      </c>
      <c r="F203" s="74"/>
      <c r="G203" s="223"/>
      <c r="H203" s="110"/>
      <c r="J203" s="106"/>
    </row>
    <row r="204" spans="1:10" ht="18.75">
      <c r="A204" s="214"/>
      <c r="B204" s="113" t="s">
        <v>636</v>
      </c>
      <c r="C204" s="114" t="s">
        <v>1699</v>
      </c>
      <c r="D204" s="109">
        <f>+ROUND(SUM('Alimentazione CE Costi'!K90:K100),2)</f>
        <v>0</v>
      </c>
      <c r="E204" s="109">
        <f>+ROUND(SUM('Alimentazione CE Costi'!N90:N100),2)</f>
        <v>0</v>
      </c>
      <c r="F204" s="74"/>
      <c r="G204" s="223"/>
      <c r="H204" s="110"/>
      <c r="J204" s="106"/>
    </row>
    <row r="205" spans="1:10" ht="18.75">
      <c r="A205" s="214"/>
      <c r="B205" s="113" t="s">
        <v>638</v>
      </c>
      <c r="C205" s="114" t="s">
        <v>1700</v>
      </c>
      <c r="D205" s="109">
        <f>+ROUND(SUM('Alimentazione CE Costi'!K102:K115),2)</f>
        <v>0</v>
      </c>
      <c r="E205" s="109">
        <f>+ROUND(SUM('Alimentazione CE Costi'!N102:N115),2)</f>
        <v>0</v>
      </c>
      <c r="F205" s="74"/>
      <c r="G205" s="223"/>
      <c r="H205" s="110"/>
      <c r="J205" s="106"/>
    </row>
    <row r="206" spans="1:10" ht="25.5">
      <c r="A206" s="214"/>
      <c r="B206" s="113" t="s">
        <v>654</v>
      </c>
      <c r="C206" s="114" t="s">
        <v>1701</v>
      </c>
      <c r="D206" s="109">
        <f>+ROUND(SUM('Alimentazione CE Costi'!K117:K124),2)</f>
        <v>0</v>
      </c>
      <c r="E206" s="109">
        <f>+ROUND(SUM('Alimentazione CE Costi'!N117:N124),2)</f>
        <v>0</v>
      </c>
      <c r="F206" s="74"/>
      <c r="G206" s="223"/>
      <c r="H206" s="110"/>
      <c r="J206" s="106"/>
    </row>
    <row r="207" spans="1:10" ht="25.5">
      <c r="A207" s="214" t="s">
        <v>1529</v>
      </c>
      <c r="B207" s="113" t="s">
        <v>658</v>
      </c>
      <c r="C207" s="114" t="s">
        <v>1702</v>
      </c>
      <c r="D207" s="109">
        <f>+'Alimentazione CE Costi'!K125</f>
        <v>0</v>
      </c>
      <c r="E207" s="109">
        <f>+'Alimentazione CE Costi'!N125</f>
        <v>0</v>
      </c>
      <c r="F207" s="74"/>
      <c r="G207" s="223"/>
      <c r="H207" s="110"/>
      <c r="J207" s="106"/>
    </row>
    <row r="208" spans="1:10" ht="25.5">
      <c r="A208" s="214" t="s">
        <v>1574</v>
      </c>
      <c r="B208" s="113" t="s">
        <v>660</v>
      </c>
      <c r="C208" s="114" t="s">
        <v>1703</v>
      </c>
      <c r="D208" s="109">
        <f>+'Alimentazione CE Costi'!K126</f>
        <v>0</v>
      </c>
      <c r="E208" s="109">
        <f>+'Alimentazione CE Costi'!N126</f>
        <v>0</v>
      </c>
      <c r="F208" s="74"/>
      <c r="G208" s="223"/>
      <c r="H208" s="110"/>
      <c r="J208" s="106"/>
    </row>
    <row r="209" spans="1:10" ht="18.75">
      <c r="A209" s="214"/>
      <c r="B209" s="159" t="s">
        <v>662</v>
      </c>
      <c r="C209" s="160" t="s">
        <v>1704</v>
      </c>
      <c r="D209" s="146">
        <f t="shared" ref="D209" si="76">+D210+D211+D212</f>
        <v>0</v>
      </c>
      <c r="E209" s="146">
        <f t="shared" ref="E209" si="77">+E210+E211+E212</f>
        <v>0</v>
      </c>
      <c r="F209" s="74" t="s">
        <v>2117</v>
      </c>
      <c r="G209" s="223"/>
      <c r="H209" s="110"/>
      <c r="J209" s="106"/>
    </row>
    <row r="210" spans="1:10" ht="18.75">
      <c r="A210" s="214"/>
      <c r="B210" s="113" t="s">
        <v>663</v>
      </c>
      <c r="C210" s="114" t="s">
        <v>1705</v>
      </c>
      <c r="D210" s="109">
        <f>+'Alimentazione CE Costi'!K129+'Alimentazione CE Costi'!K130</f>
        <v>0</v>
      </c>
      <c r="E210" s="109">
        <f>+'Alimentazione CE Costi'!N129+'Alimentazione CE Costi'!N130</f>
        <v>0</v>
      </c>
      <c r="F210" s="74"/>
      <c r="G210" s="223"/>
      <c r="H210" s="110"/>
      <c r="J210" s="106"/>
    </row>
    <row r="211" spans="1:10" ht="25.5">
      <c r="A211" s="214" t="s">
        <v>1529</v>
      </c>
      <c r="B211" s="113" t="s">
        <v>667</v>
      </c>
      <c r="C211" s="114" t="s">
        <v>1706</v>
      </c>
      <c r="D211" s="109">
        <f>+'Alimentazione CE Costi'!K131</f>
        <v>0</v>
      </c>
      <c r="E211" s="109">
        <f>+'Alimentazione CE Costi'!N131</f>
        <v>0</v>
      </c>
      <c r="F211" s="74"/>
      <c r="G211" s="223"/>
      <c r="H211" s="110"/>
      <c r="J211" s="106"/>
    </row>
    <row r="212" spans="1:10" ht="18.75">
      <c r="A212" s="216" t="s">
        <v>1574</v>
      </c>
      <c r="B212" s="113" t="s">
        <v>669</v>
      </c>
      <c r="C212" s="114" t="s">
        <v>1707</v>
      </c>
      <c r="D212" s="109">
        <f>+'Alimentazione CE Costi'!K132</f>
        <v>0</v>
      </c>
      <c r="E212" s="109">
        <f>+'Alimentazione CE Costi'!N132</f>
        <v>0</v>
      </c>
      <c r="F212" s="355"/>
      <c r="G212" s="223"/>
      <c r="H212" s="110"/>
      <c r="J212" s="106"/>
    </row>
    <row r="213" spans="1:10" ht="25.5">
      <c r="A213" s="216"/>
      <c r="B213" s="159" t="s">
        <v>671</v>
      </c>
      <c r="C213" s="160" t="s">
        <v>1708</v>
      </c>
      <c r="D213" s="146">
        <f t="shared" ref="D213" si="78">+D214+D215+D216+D217+D218+D219+D220+D221+D230+D231</f>
        <v>571493.06000000006</v>
      </c>
      <c r="E213" s="146">
        <f t="shared" ref="E213" si="79">+E214+E215+E216+E217+E218+E219+E220+E221+E230+E231</f>
        <v>419859.55</v>
      </c>
      <c r="F213" s="74" t="s">
        <v>2117</v>
      </c>
      <c r="G213" s="223"/>
      <c r="H213" s="110"/>
      <c r="J213" s="106"/>
    </row>
    <row r="214" spans="1:10" ht="25.5">
      <c r="A214" s="216" t="s">
        <v>1529</v>
      </c>
      <c r="B214" s="113" t="s">
        <v>673</v>
      </c>
      <c r="C214" s="114" t="s">
        <v>1709</v>
      </c>
      <c r="D214" s="109">
        <f>+'Alimentazione CE Costi'!K135+'Alimentazione CE Costi'!K136</f>
        <v>571493.06000000006</v>
      </c>
      <c r="E214" s="109">
        <f>+'Alimentazione CE Costi'!N135+'Alimentazione CE Costi'!N136</f>
        <v>419859.55</v>
      </c>
      <c r="F214" s="355"/>
      <c r="G214" s="223"/>
      <c r="H214" s="110"/>
      <c r="J214" s="106"/>
    </row>
    <row r="215" spans="1:10" ht="38.25">
      <c r="A215" s="216" t="s">
        <v>1529</v>
      </c>
      <c r="B215" s="113" t="s">
        <v>677</v>
      </c>
      <c r="C215" s="114" t="s">
        <v>1710</v>
      </c>
      <c r="D215" s="109">
        <f>+'Alimentazione CE Costi'!K137</f>
        <v>0</v>
      </c>
      <c r="E215" s="109">
        <f>+'Alimentazione CE Costi'!N137</f>
        <v>0</v>
      </c>
      <c r="F215" s="355"/>
      <c r="G215" s="223"/>
      <c r="H215" s="110"/>
      <c r="J215" s="106"/>
    </row>
    <row r="216" spans="1:10" ht="18.75">
      <c r="A216" s="216"/>
      <c r="B216" s="113" t="s">
        <v>679</v>
      </c>
      <c r="C216" s="114" t="s">
        <v>1711</v>
      </c>
      <c r="D216" s="109">
        <f>+'Alimentazione CE Costi'!K138</f>
        <v>0</v>
      </c>
      <c r="E216" s="109">
        <f>+'Alimentazione CE Costi'!N138</f>
        <v>0</v>
      </c>
      <c r="F216" s="355"/>
      <c r="G216" s="223"/>
      <c r="H216" s="110"/>
      <c r="J216" s="106"/>
    </row>
    <row r="217" spans="1:10" ht="25.5">
      <c r="A217" s="216"/>
      <c r="B217" s="113" t="s">
        <v>681</v>
      </c>
      <c r="C217" s="114" t="s">
        <v>1712</v>
      </c>
      <c r="D217" s="109">
        <f>+'Alimentazione CE Costi'!K139</f>
        <v>0</v>
      </c>
      <c r="E217" s="109">
        <f>+'Alimentazione CE Costi'!N139</f>
        <v>0</v>
      </c>
      <c r="F217" s="355"/>
      <c r="G217" s="223"/>
      <c r="H217" s="110"/>
      <c r="J217" s="106"/>
    </row>
    <row r="218" spans="1:10" ht="18.75">
      <c r="A218" s="216" t="s">
        <v>1574</v>
      </c>
      <c r="B218" s="113" t="s">
        <v>682</v>
      </c>
      <c r="C218" s="114" t="s">
        <v>1713</v>
      </c>
      <c r="D218" s="109">
        <f>+'Alimentazione CE Costi'!K141</f>
        <v>0</v>
      </c>
      <c r="E218" s="109">
        <f>+'Alimentazione CE Costi'!N141</f>
        <v>0</v>
      </c>
      <c r="F218" s="355"/>
      <c r="G218" s="223"/>
      <c r="H218" s="110"/>
      <c r="J218" s="106"/>
    </row>
    <row r="219" spans="1:10" ht="25.5">
      <c r="A219" s="216" t="s">
        <v>1574</v>
      </c>
      <c r="B219" s="113" t="s">
        <v>686</v>
      </c>
      <c r="C219" s="114" t="s">
        <v>1714</v>
      </c>
      <c r="D219" s="109">
        <f>+'Alimentazione CE Costi'!K142</f>
        <v>0</v>
      </c>
      <c r="E219" s="109">
        <f>+'Alimentazione CE Costi'!N142</f>
        <v>0</v>
      </c>
      <c r="F219" s="355"/>
      <c r="G219" s="223"/>
      <c r="H219" s="110"/>
      <c r="J219" s="106"/>
    </row>
    <row r="220" spans="1:10" ht="18.75">
      <c r="A220" s="216"/>
      <c r="B220" s="113" t="s">
        <v>688</v>
      </c>
      <c r="C220" s="114" t="s">
        <v>1715</v>
      </c>
      <c r="D220" s="109">
        <f>+ROUND(SUM('Alimentazione CE Costi'!K144:K150),2)</f>
        <v>0</v>
      </c>
      <c r="E220" s="109">
        <f>+ROUND(SUM('Alimentazione CE Costi'!N144:N150),2)</f>
        <v>0</v>
      </c>
      <c r="F220" s="355"/>
      <c r="G220" s="223"/>
      <c r="H220" s="110"/>
      <c r="J220" s="106"/>
    </row>
    <row r="221" spans="1:10" ht="18.75">
      <c r="A221" s="216"/>
      <c r="B221" s="150" t="s">
        <v>692</v>
      </c>
      <c r="C221" s="151" t="s">
        <v>1716</v>
      </c>
      <c r="D221" s="149">
        <f t="shared" ref="D221" si="80">SUM(D222:D229)</f>
        <v>0</v>
      </c>
      <c r="E221" s="149">
        <f t="shared" ref="E221" si="81">SUM(E222:E229)</f>
        <v>0</v>
      </c>
      <c r="F221" s="74" t="s">
        <v>2117</v>
      </c>
      <c r="G221" s="223"/>
      <c r="H221" s="110"/>
      <c r="J221" s="106"/>
    </row>
    <row r="222" spans="1:10" ht="25.5">
      <c r="A222" s="216"/>
      <c r="B222" s="115" t="s">
        <v>694</v>
      </c>
      <c r="C222" s="116" t="s">
        <v>1717</v>
      </c>
      <c r="D222" s="109">
        <f>+'Alimentazione CE Costi'!K152</f>
        <v>0</v>
      </c>
      <c r="E222" s="109">
        <f>+'Alimentazione CE Costi'!N152</f>
        <v>0</v>
      </c>
      <c r="F222" s="355"/>
      <c r="G222" s="223"/>
      <c r="H222" s="110"/>
      <c r="J222" s="106"/>
    </row>
    <row r="223" spans="1:10" ht="38.25">
      <c r="A223" s="216"/>
      <c r="B223" s="115" t="s">
        <v>696</v>
      </c>
      <c r="C223" s="116" t="s">
        <v>1718</v>
      </c>
      <c r="D223" s="109">
        <f>+'Alimentazione CE Costi'!K153</f>
        <v>0</v>
      </c>
      <c r="E223" s="109">
        <f>+'Alimentazione CE Costi'!N153</f>
        <v>0</v>
      </c>
      <c r="F223" s="355"/>
      <c r="G223" s="223"/>
      <c r="H223" s="110"/>
      <c r="J223" s="106"/>
    </row>
    <row r="224" spans="1:10" ht="25.5">
      <c r="A224" s="216"/>
      <c r="B224" s="115" t="s">
        <v>698</v>
      </c>
      <c r="C224" s="116" t="s">
        <v>1719</v>
      </c>
      <c r="D224" s="109">
        <f>+'Alimentazione CE Costi'!K154</f>
        <v>0</v>
      </c>
      <c r="E224" s="109">
        <f>+'Alimentazione CE Costi'!N154</f>
        <v>0</v>
      </c>
      <c r="F224" s="355"/>
      <c r="G224" s="223"/>
      <c r="H224" s="110"/>
      <c r="J224" s="106"/>
    </row>
    <row r="225" spans="1:10" ht="38.25">
      <c r="A225" s="216"/>
      <c r="B225" s="115" t="s">
        <v>700</v>
      </c>
      <c r="C225" s="116" t="s">
        <v>1720</v>
      </c>
      <c r="D225" s="109">
        <f>+'Alimentazione CE Costi'!K155</f>
        <v>0</v>
      </c>
      <c r="E225" s="109">
        <f>+'Alimentazione CE Costi'!N155</f>
        <v>0</v>
      </c>
      <c r="F225" s="355"/>
      <c r="G225" s="223"/>
      <c r="H225" s="110"/>
      <c r="J225" s="106"/>
    </row>
    <row r="226" spans="1:10" ht="25.5">
      <c r="A226" s="216"/>
      <c r="B226" s="115" t="s">
        <v>702</v>
      </c>
      <c r="C226" s="116" t="s">
        <v>1721</v>
      </c>
      <c r="D226" s="109">
        <f>+'Alimentazione CE Costi'!K156</f>
        <v>0</v>
      </c>
      <c r="E226" s="109">
        <f>+'Alimentazione CE Costi'!N156</f>
        <v>0</v>
      </c>
      <c r="F226" s="355"/>
      <c r="G226" s="223"/>
      <c r="H226" s="110"/>
      <c r="J226" s="106"/>
    </row>
    <row r="227" spans="1:10" ht="25.5">
      <c r="A227" s="216"/>
      <c r="B227" s="115" t="s">
        <v>704</v>
      </c>
      <c r="C227" s="116" t="s">
        <v>1722</v>
      </c>
      <c r="D227" s="109">
        <f>+'Alimentazione CE Costi'!K157</f>
        <v>0</v>
      </c>
      <c r="E227" s="109">
        <f>+'Alimentazione CE Costi'!N157</f>
        <v>0</v>
      </c>
      <c r="F227" s="355"/>
      <c r="G227" s="223"/>
      <c r="H227" s="110"/>
      <c r="J227" s="106"/>
    </row>
    <row r="228" spans="1:10" ht="25.5">
      <c r="A228" s="216"/>
      <c r="B228" s="115" t="s">
        <v>706</v>
      </c>
      <c r="C228" s="116" t="s">
        <v>1723</v>
      </c>
      <c r="D228" s="109">
        <f>+'Alimentazione CE Costi'!K158</f>
        <v>0</v>
      </c>
      <c r="E228" s="109">
        <f>+'Alimentazione CE Costi'!N158</f>
        <v>0</v>
      </c>
      <c r="F228" s="355"/>
      <c r="G228" s="223"/>
      <c r="H228" s="110"/>
      <c r="J228" s="106"/>
    </row>
    <row r="229" spans="1:10" ht="25.5">
      <c r="A229" s="216"/>
      <c r="B229" s="115" t="s">
        <v>708</v>
      </c>
      <c r="C229" s="116" t="s">
        <v>1724</v>
      </c>
      <c r="D229" s="109">
        <f>+'Alimentazione CE Costi'!K159</f>
        <v>0</v>
      </c>
      <c r="E229" s="109">
        <f>+'Alimentazione CE Costi'!N159</f>
        <v>0</v>
      </c>
      <c r="F229" s="355"/>
      <c r="G229" s="223"/>
      <c r="H229" s="110"/>
      <c r="J229" s="106"/>
    </row>
    <row r="230" spans="1:10" ht="25.5">
      <c r="A230" s="216"/>
      <c r="B230" s="113" t="s">
        <v>710</v>
      </c>
      <c r="C230" s="114" t="s">
        <v>1725</v>
      </c>
      <c r="D230" s="109">
        <f>+'Alimentazione CE Costi'!K160</f>
        <v>0</v>
      </c>
      <c r="E230" s="109">
        <f>+'Alimentazione CE Costi'!N160</f>
        <v>0</v>
      </c>
      <c r="F230" s="355"/>
      <c r="G230" s="223"/>
      <c r="H230" s="110"/>
      <c r="J230" s="106"/>
    </row>
    <row r="231" spans="1:10" ht="51">
      <c r="A231" s="216"/>
      <c r="B231" s="115" t="s">
        <v>712</v>
      </c>
      <c r="C231" s="116" t="s">
        <v>1726</v>
      </c>
      <c r="D231" s="109">
        <f>+'Alimentazione CE Costi'!K161</f>
        <v>0</v>
      </c>
      <c r="E231" s="109">
        <f>+'Alimentazione CE Costi'!N161</f>
        <v>0</v>
      </c>
      <c r="F231" s="355"/>
      <c r="G231" s="223"/>
      <c r="H231" s="110"/>
      <c r="J231" s="106"/>
    </row>
    <row r="232" spans="1:10" ht="25.5">
      <c r="A232" s="214"/>
      <c r="B232" s="159" t="s">
        <v>714</v>
      </c>
      <c r="C232" s="160" t="s">
        <v>1727</v>
      </c>
      <c r="D232" s="146">
        <f t="shared" ref="D232" si="82">SUM(D233:D237)</f>
        <v>0</v>
      </c>
      <c r="E232" s="146">
        <f t="shared" ref="E232" si="83">SUM(E233:E237)</f>
        <v>0</v>
      </c>
      <c r="F232" s="74" t="s">
        <v>2117</v>
      </c>
      <c r="G232" s="223"/>
      <c r="H232" s="110"/>
      <c r="J232" s="106"/>
    </row>
    <row r="233" spans="1:10" ht="25.5">
      <c r="A233" s="214" t="s">
        <v>1529</v>
      </c>
      <c r="B233" s="113" t="s">
        <v>715</v>
      </c>
      <c r="C233" s="114" t="s">
        <v>1728</v>
      </c>
      <c r="D233" s="109">
        <f>+'Alimentazione CE Costi'!K163</f>
        <v>0</v>
      </c>
      <c r="E233" s="109">
        <f>+'Alimentazione CE Costi'!N163</f>
        <v>0</v>
      </c>
      <c r="F233" s="74"/>
      <c r="G233" s="223"/>
      <c r="H233" s="110"/>
      <c r="J233" s="106"/>
    </row>
    <row r="234" spans="1:10" ht="18.75">
      <c r="A234" s="214"/>
      <c r="B234" s="113" t="s">
        <v>716</v>
      </c>
      <c r="C234" s="114" t="s">
        <v>1729</v>
      </c>
      <c r="D234" s="109">
        <f>+'Alimentazione CE Costi'!K164</f>
        <v>0</v>
      </c>
      <c r="E234" s="109">
        <f>+'Alimentazione CE Costi'!N164</f>
        <v>0</v>
      </c>
      <c r="F234" s="74"/>
      <c r="G234" s="223"/>
      <c r="H234" s="110"/>
      <c r="J234" s="106"/>
    </row>
    <row r="235" spans="1:10" ht="25.5">
      <c r="A235" s="214" t="s">
        <v>1578</v>
      </c>
      <c r="B235" s="113" t="s">
        <v>718</v>
      </c>
      <c r="C235" s="114" t="s">
        <v>1730</v>
      </c>
      <c r="D235" s="109">
        <f>+'Alimentazione CE Costi'!K165</f>
        <v>0</v>
      </c>
      <c r="E235" s="109">
        <f>+'Alimentazione CE Costi'!N165</f>
        <v>0</v>
      </c>
      <c r="F235" s="74"/>
      <c r="G235" s="223"/>
      <c r="H235" s="110"/>
      <c r="J235" s="106"/>
    </row>
    <row r="236" spans="1:10" ht="18.75">
      <c r="A236" s="214"/>
      <c r="B236" s="113" t="s">
        <v>720</v>
      </c>
      <c r="C236" s="114" t="s">
        <v>1731</v>
      </c>
      <c r="D236" s="109">
        <f>+'Alimentazione CE Costi'!K167+'Alimentazione CE Costi'!K168</f>
        <v>0</v>
      </c>
      <c r="E236" s="109">
        <f>+'Alimentazione CE Costi'!N167+'Alimentazione CE Costi'!N168</f>
        <v>0</v>
      </c>
      <c r="F236" s="74"/>
      <c r="G236" s="223"/>
      <c r="H236" s="110"/>
      <c r="J236" s="106"/>
    </row>
    <row r="237" spans="1:10" ht="18.75">
      <c r="A237" s="214"/>
      <c r="B237" s="113" t="s">
        <v>724</v>
      </c>
      <c r="C237" s="114" t="s">
        <v>1732</v>
      </c>
      <c r="D237" s="109">
        <f>+'Alimentazione CE Costi'!K170+'Alimentazione CE Costi'!K171</f>
        <v>0</v>
      </c>
      <c r="E237" s="109">
        <f>+'Alimentazione CE Costi'!N170+'Alimentazione CE Costi'!N171</f>
        <v>0</v>
      </c>
      <c r="F237" s="74"/>
      <c r="G237" s="223"/>
      <c r="H237" s="110"/>
      <c r="J237" s="106"/>
    </row>
    <row r="238" spans="1:10" ht="25.5">
      <c r="A238" s="214"/>
      <c r="B238" s="159" t="s">
        <v>726</v>
      </c>
      <c r="C238" s="160" t="s">
        <v>1733</v>
      </c>
      <c r="D238" s="146">
        <f t="shared" ref="D238" si="84">SUM(D239:D242)</f>
        <v>0</v>
      </c>
      <c r="E238" s="146">
        <f t="shared" ref="E238" si="85">SUM(E239:E242)</f>
        <v>0</v>
      </c>
      <c r="F238" s="74" t="s">
        <v>2117</v>
      </c>
      <c r="G238" s="223"/>
      <c r="H238" s="110"/>
      <c r="J238" s="106"/>
    </row>
    <row r="239" spans="1:10" ht="25.5">
      <c r="A239" s="214" t="s">
        <v>1529</v>
      </c>
      <c r="B239" s="113" t="s">
        <v>728</v>
      </c>
      <c r="C239" s="114" t="s">
        <v>1734</v>
      </c>
      <c r="D239" s="109">
        <f>+'Alimentazione CE Costi'!K173</f>
        <v>0</v>
      </c>
      <c r="E239" s="109">
        <f>+'Alimentazione CE Costi'!N173</f>
        <v>0</v>
      </c>
      <c r="F239" s="74"/>
      <c r="G239" s="223"/>
      <c r="H239" s="110"/>
      <c r="J239" s="106"/>
    </row>
    <row r="240" spans="1:10" ht="18.75">
      <c r="A240" s="214"/>
      <c r="B240" s="113" t="s">
        <v>729</v>
      </c>
      <c r="C240" s="114" t="s">
        <v>1735</v>
      </c>
      <c r="D240" s="109">
        <f>+'Alimentazione CE Costi'!K174</f>
        <v>0</v>
      </c>
      <c r="E240" s="109">
        <f>+'Alimentazione CE Costi'!N174</f>
        <v>0</v>
      </c>
      <c r="F240" s="74"/>
      <c r="G240" s="223"/>
      <c r="H240" s="110"/>
      <c r="J240" s="106"/>
    </row>
    <row r="241" spans="1:10" ht="18.75">
      <c r="A241" s="216" t="s">
        <v>1574</v>
      </c>
      <c r="B241" s="113" t="s">
        <v>730</v>
      </c>
      <c r="C241" s="114" t="s">
        <v>1736</v>
      </c>
      <c r="D241" s="109">
        <f>+'Alimentazione CE Costi'!K175</f>
        <v>0</v>
      </c>
      <c r="E241" s="109">
        <f>+'Alimentazione CE Costi'!N175</f>
        <v>0</v>
      </c>
      <c r="F241" s="355"/>
      <c r="G241" s="223"/>
      <c r="H241" s="110"/>
      <c r="J241" s="106"/>
    </row>
    <row r="242" spans="1:10" ht="18.75">
      <c r="A242" s="216"/>
      <c r="B242" s="113" t="s">
        <v>732</v>
      </c>
      <c r="C242" s="114" t="s">
        <v>1737</v>
      </c>
      <c r="D242" s="109">
        <f>+'Alimentazione CE Costi'!K177+'Alimentazione CE Costi'!K178+'Alimentazione CE Costi'!K179</f>
        <v>0</v>
      </c>
      <c r="E242" s="109">
        <f>+'Alimentazione CE Costi'!N177+'Alimentazione CE Costi'!N178+'Alimentazione CE Costi'!N179</f>
        <v>0</v>
      </c>
      <c r="F242" s="355"/>
      <c r="G242" s="223"/>
      <c r="H242" s="110"/>
      <c r="J242" s="106"/>
    </row>
    <row r="243" spans="1:10" ht="25.5">
      <c r="A243" s="216"/>
      <c r="B243" s="159" t="s">
        <v>1738</v>
      </c>
      <c r="C243" s="160" t="s">
        <v>1739</v>
      </c>
      <c r="D243" s="146">
        <f t="shared" ref="D243" si="86">SUM(D244:D247)</f>
        <v>0</v>
      </c>
      <c r="E243" s="146">
        <f t="shared" ref="E243" si="87">SUM(E244:E247)</f>
        <v>0</v>
      </c>
      <c r="F243" s="74" t="s">
        <v>2117</v>
      </c>
      <c r="G243" s="223"/>
      <c r="H243" s="110"/>
      <c r="J243" s="106"/>
    </row>
    <row r="244" spans="1:10" ht="25.5">
      <c r="A244" s="216" t="s">
        <v>1529</v>
      </c>
      <c r="B244" s="113" t="s">
        <v>738</v>
      </c>
      <c r="C244" s="114" t="s">
        <v>1740</v>
      </c>
      <c r="D244" s="109">
        <f>+'Alimentazione CE Costi'!K181</f>
        <v>0</v>
      </c>
      <c r="E244" s="109">
        <f>+'Alimentazione CE Costi'!N181</f>
        <v>0</v>
      </c>
      <c r="F244" s="355"/>
      <c r="G244" s="223"/>
      <c r="H244" s="110"/>
      <c r="J244" s="106"/>
    </row>
    <row r="245" spans="1:10" ht="18.75">
      <c r="A245" s="216"/>
      <c r="B245" s="113" t="s">
        <v>739</v>
      </c>
      <c r="C245" s="114" t="s">
        <v>1741</v>
      </c>
      <c r="D245" s="109">
        <f>+'Alimentazione CE Costi'!K182</f>
        <v>0</v>
      </c>
      <c r="E245" s="109">
        <f>+'Alimentazione CE Costi'!N182</f>
        <v>0</v>
      </c>
      <c r="F245" s="355"/>
      <c r="G245" s="223"/>
      <c r="H245" s="110"/>
      <c r="J245" s="106"/>
    </row>
    <row r="246" spans="1:10" ht="18.75">
      <c r="A246" s="216" t="s">
        <v>1574</v>
      </c>
      <c r="B246" s="113" t="s">
        <v>740</v>
      </c>
      <c r="C246" s="114" t="s">
        <v>1742</v>
      </c>
      <c r="D246" s="109">
        <f>+'Alimentazione CE Costi'!K183</f>
        <v>0</v>
      </c>
      <c r="E246" s="109">
        <f>+'Alimentazione CE Costi'!N183</f>
        <v>0</v>
      </c>
      <c r="F246" s="355"/>
      <c r="G246" s="223"/>
      <c r="H246" s="110"/>
      <c r="J246" s="106"/>
    </row>
    <row r="247" spans="1:10" ht="18.75">
      <c r="A247" s="216"/>
      <c r="B247" s="113" t="s">
        <v>741</v>
      </c>
      <c r="C247" s="114" t="s">
        <v>1743</v>
      </c>
      <c r="D247" s="109">
        <f>+'Alimentazione CE Costi'!K185+'Alimentazione CE Costi'!K186</f>
        <v>0</v>
      </c>
      <c r="E247" s="109">
        <f>+'Alimentazione CE Costi'!N185+'Alimentazione CE Costi'!N186</f>
        <v>0</v>
      </c>
      <c r="F247" s="355"/>
      <c r="G247" s="223"/>
      <c r="H247" s="110"/>
      <c r="J247" s="106"/>
    </row>
    <row r="248" spans="1:10" ht="25.5">
      <c r="A248" s="216"/>
      <c r="B248" s="159" t="s">
        <v>745</v>
      </c>
      <c r="C248" s="160" t="s">
        <v>1744</v>
      </c>
      <c r="D248" s="146">
        <f t="shared" ref="D248" si="88">SUM(D249:D252,D257)</f>
        <v>0</v>
      </c>
      <c r="E248" s="146">
        <f t="shared" ref="E248" si="89">SUM(E249:E252,E257)</f>
        <v>0</v>
      </c>
      <c r="F248" s="74" t="s">
        <v>2117</v>
      </c>
      <c r="G248" s="223"/>
      <c r="H248" s="110"/>
      <c r="J248" s="106"/>
    </row>
    <row r="249" spans="1:10" ht="25.5">
      <c r="A249" s="216" t="s">
        <v>1529</v>
      </c>
      <c r="B249" s="113" t="s">
        <v>746</v>
      </c>
      <c r="C249" s="114" t="s">
        <v>1745</v>
      </c>
      <c r="D249" s="109">
        <f>+'Alimentazione CE Costi'!K190+'Alimentazione CE Costi'!K189</f>
        <v>0</v>
      </c>
      <c r="E249" s="109">
        <f>+'Alimentazione CE Costi'!N190+'Alimentazione CE Costi'!N189</f>
        <v>0</v>
      </c>
      <c r="F249" s="355"/>
      <c r="G249" s="223"/>
      <c r="H249" s="110"/>
      <c r="J249" s="106"/>
    </row>
    <row r="250" spans="1:10" ht="18.75">
      <c r="A250" s="216"/>
      <c r="B250" s="113" t="s">
        <v>749</v>
      </c>
      <c r="C250" s="114" t="s">
        <v>1746</v>
      </c>
      <c r="D250" s="109">
        <f>+'Alimentazione CE Costi'!K191</f>
        <v>0</v>
      </c>
      <c r="E250" s="109">
        <f>+'Alimentazione CE Costi'!N191</f>
        <v>0</v>
      </c>
      <c r="F250" s="355"/>
      <c r="G250" s="223"/>
      <c r="H250" s="110"/>
      <c r="J250" s="106"/>
    </row>
    <row r="251" spans="1:10" ht="18.75">
      <c r="A251" s="216" t="s">
        <v>1574</v>
      </c>
      <c r="B251" s="113" t="s">
        <v>750</v>
      </c>
      <c r="C251" s="114" t="s">
        <v>1747</v>
      </c>
      <c r="D251" s="109">
        <f>+'Alimentazione CE Costi'!K193</f>
        <v>0</v>
      </c>
      <c r="E251" s="109">
        <f>+'Alimentazione CE Costi'!N193</f>
        <v>0</v>
      </c>
      <c r="F251" s="355"/>
      <c r="G251" s="223"/>
      <c r="H251" s="110"/>
      <c r="J251" s="106"/>
    </row>
    <row r="252" spans="1:10" ht="18.75">
      <c r="A252" s="216"/>
      <c r="B252" s="150" t="s">
        <v>753</v>
      </c>
      <c r="C252" s="151" t="s">
        <v>1748</v>
      </c>
      <c r="D252" s="149">
        <f t="shared" ref="D252" si="90">SUM(D253:D256)</f>
        <v>0</v>
      </c>
      <c r="E252" s="149">
        <f t="shared" ref="E252" si="91">SUM(E253:E256)</f>
        <v>0</v>
      </c>
      <c r="F252" s="74" t="s">
        <v>2117</v>
      </c>
      <c r="G252" s="223"/>
      <c r="H252" s="110"/>
      <c r="J252" s="106"/>
    </row>
    <row r="253" spans="1:10" ht="25.5">
      <c r="A253" s="216"/>
      <c r="B253" s="115" t="s">
        <v>755</v>
      </c>
      <c r="C253" s="116" t="s">
        <v>1749</v>
      </c>
      <c r="D253" s="109">
        <f>+'Alimentazione CE Costi'!K195</f>
        <v>0</v>
      </c>
      <c r="E253" s="109">
        <f>+'Alimentazione CE Costi'!N195</f>
        <v>0</v>
      </c>
      <c r="F253" s="355"/>
      <c r="G253" s="223"/>
      <c r="H253" s="110"/>
      <c r="J253" s="106"/>
    </row>
    <row r="254" spans="1:10" ht="25.5">
      <c r="A254" s="216"/>
      <c r="B254" s="115" t="s">
        <v>757</v>
      </c>
      <c r="C254" s="116" t="s">
        <v>1750</v>
      </c>
      <c r="D254" s="109">
        <f>+'Alimentazione CE Costi'!K196</f>
        <v>0</v>
      </c>
      <c r="E254" s="109">
        <f>+'Alimentazione CE Costi'!N196</f>
        <v>0</v>
      </c>
      <c r="F254" s="355"/>
      <c r="G254" s="223"/>
      <c r="H254" s="110"/>
      <c r="J254" s="106"/>
    </row>
    <row r="255" spans="1:10" ht="25.5">
      <c r="A255" s="216"/>
      <c r="B255" s="115" t="s">
        <v>759</v>
      </c>
      <c r="C255" s="116" t="s">
        <v>1751</v>
      </c>
      <c r="D255" s="109">
        <f>+'Alimentazione CE Costi'!K197</f>
        <v>0</v>
      </c>
      <c r="E255" s="109">
        <f>+'Alimentazione CE Costi'!N197</f>
        <v>0</v>
      </c>
      <c r="F255" s="355"/>
      <c r="G255" s="223"/>
      <c r="H255" s="110"/>
      <c r="J255" s="106"/>
    </row>
    <row r="256" spans="1:10" ht="25.5">
      <c r="A256" s="216"/>
      <c r="B256" s="115" t="s">
        <v>761</v>
      </c>
      <c r="C256" s="116" t="s">
        <v>1752</v>
      </c>
      <c r="D256" s="109">
        <f>+'Alimentazione CE Costi'!K198</f>
        <v>0</v>
      </c>
      <c r="E256" s="109">
        <f>+'Alimentazione CE Costi'!N198</f>
        <v>0</v>
      </c>
      <c r="F256" s="355"/>
      <c r="G256" s="223"/>
      <c r="H256" s="110"/>
      <c r="J256" s="106"/>
    </row>
    <row r="257" spans="1:10" ht="25.5">
      <c r="A257" s="216"/>
      <c r="B257" s="113" t="s">
        <v>762</v>
      </c>
      <c r="C257" s="114" t="s">
        <v>1753</v>
      </c>
      <c r="D257" s="109">
        <f>+'Alimentazione CE Costi'!K199</f>
        <v>0</v>
      </c>
      <c r="E257" s="109">
        <f>+'Alimentazione CE Costi'!N199</f>
        <v>0</v>
      </c>
      <c r="F257" s="355"/>
      <c r="G257" s="223"/>
      <c r="H257" s="110"/>
      <c r="J257" s="106"/>
    </row>
    <row r="258" spans="1:10" ht="25.5">
      <c r="A258" s="216"/>
      <c r="B258" s="159" t="s">
        <v>764</v>
      </c>
      <c r="C258" s="160" t="s">
        <v>1754</v>
      </c>
      <c r="D258" s="146">
        <f t="shared" ref="D258" si="92">SUM(D259:D263)</f>
        <v>0</v>
      </c>
      <c r="E258" s="146">
        <f t="shared" ref="E258" si="93">SUM(E259:E263)</f>
        <v>0</v>
      </c>
      <c r="F258" s="74" t="s">
        <v>2117</v>
      </c>
      <c r="G258" s="223"/>
      <c r="H258" s="110"/>
      <c r="J258" s="106"/>
    </row>
    <row r="259" spans="1:10" ht="25.5">
      <c r="A259" s="216" t="s">
        <v>1529</v>
      </c>
      <c r="B259" s="113" t="s">
        <v>765</v>
      </c>
      <c r="C259" s="114" t="s">
        <v>1755</v>
      </c>
      <c r="D259" s="109">
        <f>+'Alimentazione CE Costi'!K201</f>
        <v>0</v>
      </c>
      <c r="E259" s="109">
        <f>+'Alimentazione CE Costi'!N201</f>
        <v>0</v>
      </c>
      <c r="F259" s="355"/>
      <c r="G259" s="223"/>
      <c r="H259" s="110"/>
      <c r="J259" s="106"/>
    </row>
    <row r="260" spans="1:10" ht="18.75">
      <c r="A260" s="214"/>
      <c r="B260" s="113" t="s">
        <v>766</v>
      </c>
      <c r="C260" s="114" t="s">
        <v>1756</v>
      </c>
      <c r="D260" s="109">
        <f>+'Alimentazione CE Costi'!K202</f>
        <v>0</v>
      </c>
      <c r="E260" s="109">
        <f>+'Alimentazione CE Costi'!N202</f>
        <v>0</v>
      </c>
      <c r="F260" s="74"/>
      <c r="G260" s="223"/>
      <c r="H260" s="110"/>
      <c r="J260" s="106"/>
    </row>
    <row r="261" spans="1:10" ht="25.5">
      <c r="A261" s="214" t="s">
        <v>1578</v>
      </c>
      <c r="B261" s="113" t="s">
        <v>768</v>
      </c>
      <c r="C261" s="114" t="s">
        <v>1757</v>
      </c>
      <c r="D261" s="109">
        <f>+'Alimentazione CE Costi'!K203</f>
        <v>0</v>
      </c>
      <c r="E261" s="109">
        <f>+'Alimentazione CE Costi'!N203</f>
        <v>0</v>
      </c>
      <c r="F261" s="74"/>
      <c r="G261" s="223"/>
      <c r="H261" s="110"/>
      <c r="J261" s="106"/>
    </row>
    <row r="262" spans="1:10" ht="18.75">
      <c r="A262" s="214"/>
      <c r="B262" s="113" t="s">
        <v>769</v>
      </c>
      <c r="C262" s="114" t="s">
        <v>1758</v>
      </c>
      <c r="D262" s="109">
        <f>+'Alimentazione CE Costi'!K204</f>
        <v>0</v>
      </c>
      <c r="E262" s="109">
        <f>+'Alimentazione CE Costi'!N204</f>
        <v>0</v>
      </c>
      <c r="F262" s="74"/>
      <c r="G262" s="223"/>
      <c r="H262" s="110"/>
      <c r="J262" s="106"/>
    </row>
    <row r="263" spans="1:10" ht="18.75">
      <c r="A263" s="214"/>
      <c r="B263" s="113" t="s">
        <v>770</v>
      </c>
      <c r="C263" s="114" t="s">
        <v>1759</v>
      </c>
      <c r="D263" s="109">
        <f>+'Alimentazione CE Costi'!K205</f>
        <v>0</v>
      </c>
      <c r="E263" s="109">
        <f>+'Alimentazione CE Costi'!N205</f>
        <v>0</v>
      </c>
      <c r="F263" s="74"/>
      <c r="G263" s="223"/>
      <c r="H263" s="110"/>
      <c r="J263" s="106"/>
    </row>
    <row r="264" spans="1:10" ht="25.5">
      <c r="A264" s="214"/>
      <c r="B264" s="159" t="s">
        <v>772</v>
      </c>
      <c r="C264" s="160" t="s">
        <v>1760</v>
      </c>
      <c r="D264" s="146">
        <f t="shared" ref="D264" si="94">SUM(D265:D270)</f>
        <v>0</v>
      </c>
      <c r="E264" s="146">
        <f t="shared" ref="E264" si="95">SUM(E265:E270)</f>
        <v>0</v>
      </c>
      <c r="F264" s="74" t="s">
        <v>2117</v>
      </c>
      <c r="G264" s="223"/>
      <c r="H264" s="110"/>
      <c r="J264" s="106"/>
    </row>
    <row r="265" spans="1:10" ht="25.5">
      <c r="A265" s="214" t="s">
        <v>1529</v>
      </c>
      <c r="B265" s="113" t="s">
        <v>773</v>
      </c>
      <c r="C265" s="114" t="s">
        <v>1761</v>
      </c>
      <c r="D265" s="109">
        <f>+'Alimentazione CE Costi'!K208+'Alimentazione CE Costi'!K209</f>
        <v>0</v>
      </c>
      <c r="E265" s="109">
        <f>+'Alimentazione CE Costi'!N208+'Alimentazione CE Costi'!N209</f>
        <v>0</v>
      </c>
      <c r="F265" s="74"/>
      <c r="G265" s="223"/>
      <c r="H265" s="110"/>
      <c r="J265" s="106"/>
    </row>
    <row r="266" spans="1:10" ht="18.75">
      <c r="A266" s="214"/>
      <c r="B266" s="113" t="s">
        <v>776</v>
      </c>
      <c r="C266" s="114" t="s">
        <v>1762</v>
      </c>
      <c r="D266" s="109">
        <f>+'Alimentazione CE Costi'!K210</f>
        <v>0</v>
      </c>
      <c r="E266" s="109">
        <f>+'Alimentazione CE Costi'!N210</f>
        <v>0</v>
      </c>
      <c r="F266" s="74"/>
      <c r="G266" s="223"/>
      <c r="H266" s="110"/>
      <c r="J266" s="106"/>
    </row>
    <row r="267" spans="1:10" ht="18.75">
      <c r="A267" s="214" t="s">
        <v>1574</v>
      </c>
      <c r="B267" s="113" t="s">
        <v>777</v>
      </c>
      <c r="C267" s="114" t="s">
        <v>1763</v>
      </c>
      <c r="D267" s="109">
        <f>+'Alimentazione CE Costi'!K211</f>
        <v>0</v>
      </c>
      <c r="E267" s="109">
        <f>+'Alimentazione CE Costi'!N211</f>
        <v>0</v>
      </c>
      <c r="F267" s="74"/>
      <c r="G267" s="223"/>
      <c r="H267" s="110"/>
      <c r="J267" s="106"/>
    </row>
    <row r="268" spans="1:10" ht="18.75">
      <c r="A268" s="214"/>
      <c r="B268" s="113" t="s">
        <v>778</v>
      </c>
      <c r="C268" s="114" t="s">
        <v>1764</v>
      </c>
      <c r="D268" s="109">
        <f>+'Alimentazione CE Costi'!K213</f>
        <v>0</v>
      </c>
      <c r="E268" s="109">
        <f>+'Alimentazione CE Costi'!N213</f>
        <v>0</v>
      </c>
      <c r="F268" s="74"/>
      <c r="G268" s="223"/>
      <c r="H268" s="110"/>
      <c r="J268" s="106"/>
    </row>
    <row r="269" spans="1:10" ht="18.75">
      <c r="A269" s="214"/>
      <c r="B269" s="113" t="s">
        <v>779</v>
      </c>
      <c r="C269" s="114" t="s">
        <v>1765</v>
      </c>
      <c r="D269" s="109">
        <f>+'Alimentazione CE Costi'!K214</f>
        <v>0</v>
      </c>
      <c r="E269" s="109">
        <f>+'Alimentazione CE Costi'!N214</f>
        <v>0</v>
      </c>
      <c r="F269" s="74"/>
      <c r="G269" s="223"/>
      <c r="H269" s="110"/>
      <c r="J269" s="106"/>
    </row>
    <row r="270" spans="1:10" ht="25.5">
      <c r="A270" s="214"/>
      <c r="B270" s="113" t="s">
        <v>780</v>
      </c>
      <c r="C270" s="114" t="s">
        <v>1766</v>
      </c>
      <c r="D270" s="109">
        <f>+'Alimentazione CE Costi'!K215</f>
        <v>0</v>
      </c>
      <c r="E270" s="109">
        <f>+'Alimentazione CE Costi'!N215</f>
        <v>0</v>
      </c>
      <c r="F270" s="74"/>
      <c r="G270" s="223"/>
      <c r="H270" s="110"/>
      <c r="J270" s="106"/>
    </row>
    <row r="271" spans="1:10" ht="25.5">
      <c r="A271" s="214"/>
      <c r="B271" s="159" t="s">
        <v>782</v>
      </c>
      <c r="C271" s="160" t="s">
        <v>1767</v>
      </c>
      <c r="D271" s="146">
        <f t="shared" ref="D271" si="96">SUM(D272:D276)</f>
        <v>0</v>
      </c>
      <c r="E271" s="146">
        <f t="shared" ref="E271" si="97">SUM(E272:E276)</f>
        <v>0</v>
      </c>
      <c r="F271" s="74" t="s">
        <v>2117</v>
      </c>
      <c r="G271" s="223"/>
      <c r="H271" s="110"/>
      <c r="J271" s="106"/>
    </row>
    <row r="272" spans="1:10" ht="25.5">
      <c r="A272" s="214" t="s">
        <v>1529</v>
      </c>
      <c r="B272" s="113" t="s">
        <v>783</v>
      </c>
      <c r="C272" s="114" t="s">
        <v>1768</v>
      </c>
      <c r="D272" s="109">
        <f>+'Alimentazione CE Costi'!K217</f>
        <v>0</v>
      </c>
      <c r="E272" s="109">
        <f>+'Alimentazione CE Costi'!N217</f>
        <v>0</v>
      </c>
      <c r="F272" s="74"/>
      <c r="G272" s="223"/>
      <c r="H272" s="110"/>
      <c r="J272" s="106"/>
    </row>
    <row r="273" spans="1:10" ht="25.5">
      <c r="A273" s="214"/>
      <c r="B273" s="113" t="s">
        <v>784</v>
      </c>
      <c r="C273" s="114" t="s">
        <v>1769</v>
      </c>
      <c r="D273" s="109">
        <f>+'Alimentazione CE Costi'!K218</f>
        <v>0</v>
      </c>
      <c r="E273" s="109">
        <f>+'Alimentazione CE Costi'!N218</f>
        <v>0</v>
      </c>
      <c r="F273" s="74"/>
      <c r="G273" s="223"/>
      <c r="H273" s="110"/>
      <c r="J273" s="106"/>
    </row>
    <row r="274" spans="1:10" ht="18.75">
      <c r="A274" s="214" t="s">
        <v>1574</v>
      </c>
      <c r="B274" s="113" t="s">
        <v>785</v>
      </c>
      <c r="C274" s="114" t="s">
        <v>1770</v>
      </c>
      <c r="D274" s="109">
        <f>+'Alimentazione CE Costi'!K219</f>
        <v>0</v>
      </c>
      <c r="E274" s="109">
        <f>+'Alimentazione CE Costi'!N219</f>
        <v>0</v>
      </c>
      <c r="F274" s="74"/>
      <c r="G274" s="223"/>
      <c r="H274" s="110"/>
      <c r="J274" s="106"/>
    </row>
    <row r="275" spans="1:10" ht="18.75">
      <c r="A275" s="214"/>
      <c r="B275" s="113" t="s">
        <v>786</v>
      </c>
      <c r="C275" s="114" t="s">
        <v>1771</v>
      </c>
      <c r="D275" s="109">
        <f>+'Alimentazione CE Costi'!K220</f>
        <v>0</v>
      </c>
      <c r="E275" s="109">
        <f>+'Alimentazione CE Costi'!N220</f>
        <v>0</v>
      </c>
      <c r="F275" s="74"/>
      <c r="G275" s="223"/>
      <c r="H275" s="110"/>
      <c r="J275" s="106"/>
    </row>
    <row r="276" spans="1:10" ht="25.5">
      <c r="A276" s="214"/>
      <c r="B276" s="113" t="s">
        <v>787</v>
      </c>
      <c r="C276" s="114" t="s">
        <v>1772</v>
      </c>
      <c r="D276" s="109">
        <f>+'Alimentazione CE Costi'!K221</f>
        <v>0</v>
      </c>
      <c r="E276" s="109">
        <f>+'Alimentazione CE Costi'!N221</f>
        <v>0</v>
      </c>
      <c r="F276" s="74"/>
      <c r="G276" s="223"/>
      <c r="H276" s="110"/>
      <c r="J276" s="106"/>
    </row>
    <row r="277" spans="1:10" ht="25.5">
      <c r="A277" s="214"/>
      <c r="B277" s="159" t="s">
        <v>789</v>
      </c>
      <c r="C277" s="160" t="s">
        <v>1773</v>
      </c>
      <c r="D277" s="146">
        <f t="shared" ref="D277" si="98">SUM(D278:D281)</f>
        <v>110164.52</v>
      </c>
      <c r="E277" s="146">
        <f t="shared" ref="E277" si="99">SUM(E278:E281)</f>
        <v>104860.4</v>
      </c>
      <c r="F277" s="74" t="s">
        <v>2117</v>
      </c>
      <c r="G277" s="223"/>
      <c r="H277" s="110"/>
      <c r="J277" s="106"/>
    </row>
    <row r="278" spans="1:10" ht="25.5">
      <c r="A278" s="214" t="s">
        <v>1529</v>
      </c>
      <c r="B278" s="113" t="s">
        <v>790</v>
      </c>
      <c r="C278" s="114" t="s">
        <v>1774</v>
      </c>
      <c r="D278" s="109">
        <f>+'Alimentazione CE Costi'!K223</f>
        <v>0</v>
      </c>
      <c r="E278" s="109">
        <f>+'Alimentazione CE Costi'!N223</f>
        <v>0</v>
      </c>
      <c r="F278" s="74"/>
      <c r="G278" s="223"/>
      <c r="H278" s="110"/>
      <c r="J278" s="106"/>
    </row>
    <row r="279" spans="1:10" ht="25.5">
      <c r="A279" s="214"/>
      <c r="B279" s="113" t="s">
        <v>791</v>
      </c>
      <c r="C279" s="114" t="s">
        <v>1775</v>
      </c>
      <c r="D279" s="109">
        <f>+'Alimentazione CE Costi'!K224</f>
        <v>0</v>
      </c>
      <c r="E279" s="109">
        <f>+'Alimentazione CE Costi'!N224</f>
        <v>0</v>
      </c>
      <c r="F279" s="74"/>
      <c r="G279" s="223"/>
      <c r="H279" s="110"/>
      <c r="J279" s="106"/>
    </row>
    <row r="280" spans="1:10" ht="18.75">
      <c r="A280" s="214" t="s">
        <v>1574</v>
      </c>
      <c r="B280" s="113" t="s">
        <v>792</v>
      </c>
      <c r="C280" s="114" t="s">
        <v>1776</v>
      </c>
      <c r="D280" s="109">
        <f>+'Alimentazione CE Costi'!K225</f>
        <v>0</v>
      </c>
      <c r="E280" s="109">
        <f>+'Alimentazione CE Costi'!N225</f>
        <v>0</v>
      </c>
      <c r="F280" s="74"/>
      <c r="G280" s="223"/>
      <c r="H280" s="110"/>
      <c r="J280" s="106"/>
    </row>
    <row r="281" spans="1:10" ht="18.75">
      <c r="A281" s="214"/>
      <c r="B281" s="113" t="s">
        <v>793</v>
      </c>
      <c r="C281" s="114" t="s">
        <v>1777</v>
      </c>
      <c r="D281" s="109">
        <f>+ROUND(SUM('Alimentazione CE Costi'!K227:K230),2)</f>
        <v>110164.52</v>
      </c>
      <c r="E281" s="109">
        <f>+ROUND(SUM('Alimentazione CE Costi'!N227:N230),2)</f>
        <v>104860.4</v>
      </c>
      <c r="F281" s="74"/>
      <c r="G281" s="223"/>
      <c r="H281" s="110"/>
      <c r="J281" s="106"/>
    </row>
    <row r="282" spans="1:10" ht="25.5">
      <c r="A282" s="214"/>
      <c r="B282" s="159" t="s">
        <v>799</v>
      </c>
      <c r="C282" s="160" t="s">
        <v>1778</v>
      </c>
      <c r="D282" s="146">
        <f t="shared" ref="D282" si="100">+D283+D286+D288+D289+D290+D287</f>
        <v>755562.56</v>
      </c>
      <c r="E282" s="146">
        <f t="shared" ref="E282" si="101">+E283+E286+E288+E289+E290+E287</f>
        <v>500178.71</v>
      </c>
      <c r="F282" s="74" t="s">
        <v>2117</v>
      </c>
      <c r="G282" s="223"/>
      <c r="H282" s="110"/>
      <c r="J282" s="106"/>
    </row>
    <row r="283" spans="1:10" ht="25.5">
      <c r="A283" s="214" t="s">
        <v>1529</v>
      </c>
      <c r="B283" s="150" t="s">
        <v>800</v>
      </c>
      <c r="C283" s="151" t="s">
        <v>1779</v>
      </c>
      <c r="D283" s="149">
        <f t="shared" ref="D283" si="102">+D284+D285</f>
        <v>0</v>
      </c>
      <c r="E283" s="149">
        <f t="shared" ref="E283" si="103">+E284+E285</f>
        <v>0</v>
      </c>
      <c r="F283" s="74" t="s">
        <v>2117</v>
      </c>
      <c r="G283" s="223"/>
      <c r="H283" s="110"/>
      <c r="J283" s="106"/>
    </row>
    <row r="284" spans="1:10" ht="18.75">
      <c r="A284" s="216" t="s">
        <v>1529</v>
      </c>
      <c r="B284" s="115" t="s">
        <v>802</v>
      </c>
      <c r="C284" s="116" t="s">
        <v>1780</v>
      </c>
      <c r="D284" s="109">
        <f>+'Alimentazione CE Costi'!K233</f>
        <v>0</v>
      </c>
      <c r="E284" s="109">
        <f>+'Alimentazione CE Costi'!N233</f>
        <v>0</v>
      </c>
      <c r="F284" s="355"/>
      <c r="G284" s="223"/>
      <c r="H284" s="110"/>
      <c r="J284" s="106"/>
    </row>
    <row r="285" spans="1:10" ht="25.5">
      <c r="A285" s="216" t="s">
        <v>1529</v>
      </c>
      <c r="B285" s="115" t="s">
        <v>804</v>
      </c>
      <c r="C285" s="116" t="s">
        <v>1781</v>
      </c>
      <c r="D285" s="109">
        <f>+'Alimentazione CE Costi'!K234</f>
        <v>0</v>
      </c>
      <c r="E285" s="109">
        <f>+'Alimentazione CE Costi'!N234</f>
        <v>0</v>
      </c>
      <c r="F285" s="355"/>
      <c r="G285" s="223"/>
      <c r="H285" s="110"/>
      <c r="J285" s="106"/>
    </row>
    <row r="286" spans="1:10" ht="25.5">
      <c r="A286" s="214"/>
      <c r="B286" s="113" t="s">
        <v>806</v>
      </c>
      <c r="C286" s="114" t="s">
        <v>1782</v>
      </c>
      <c r="D286" s="109">
        <f>+'Alimentazione CE Costi'!K236+'Alimentazione CE Costi'!K237+'Alimentazione CE Costi'!K238+'Alimentazione CE Costi'!K239</f>
        <v>0</v>
      </c>
      <c r="E286" s="109">
        <f>+'Alimentazione CE Costi'!N236+'Alimentazione CE Costi'!N237+'Alimentazione CE Costi'!N238+'Alimentazione CE Costi'!N239</f>
        <v>0</v>
      </c>
      <c r="F286" s="74"/>
      <c r="G286" s="223"/>
      <c r="H286" s="110"/>
      <c r="J286" s="106"/>
    </row>
    <row r="287" spans="1:10" ht="38.25">
      <c r="A287" s="214" t="s">
        <v>1574</v>
      </c>
      <c r="B287" s="113" t="s">
        <v>812</v>
      </c>
      <c r="C287" s="114" t="s">
        <v>1783</v>
      </c>
      <c r="D287" s="109">
        <f>+'Alimentazione CE Costi'!K240</f>
        <v>270380</v>
      </c>
      <c r="E287" s="109">
        <f>+'Alimentazione CE Costi'!N240</f>
        <v>0</v>
      </c>
      <c r="F287" s="74"/>
      <c r="G287" s="223"/>
      <c r="H287" s="110"/>
      <c r="J287" s="106"/>
    </row>
    <row r="288" spans="1:10" ht="25.5">
      <c r="A288" s="214" t="s">
        <v>1578</v>
      </c>
      <c r="B288" s="113" t="s">
        <v>814</v>
      </c>
      <c r="C288" s="114" t="s">
        <v>1784</v>
      </c>
      <c r="D288" s="109">
        <f>+'Alimentazione CE Costi'!K241+'Alimentazione CE Costi'!K242+'Alimentazione CE Costi'!K243</f>
        <v>485182.56</v>
      </c>
      <c r="E288" s="109">
        <f>+'Alimentazione CE Costi'!N241+'Alimentazione CE Costi'!N242+'Alimentazione CE Costi'!N243</f>
        <v>500178.71</v>
      </c>
      <c r="F288" s="74"/>
      <c r="G288" s="223"/>
      <c r="H288" s="110"/>
      <c r="J288" s="106"/>
    </row>
    <row r="289" spans="1:10" ht="18.75">
      <c r="A289" s="214"/>
      <c r="B289" s="113" t="s">
        <v>815</v>
      </c>
      <c r="C289" s="114" t="s">
        <v>1785</v>
      </c>
      <c r="D289" s="109">
        <f>+ROUND(SUM('Alimentazione CE Costi'!K245:K252),2)</f>
        <v>0</v>
      </c>
      <c r="E289" s="109">
        <f>+ROUND(SUM('Alimentazione CE Costi'!N245:N252),2)</f>
        <v>0</v>
      </c>
      <c r="F289" s="74"/>
      <c r="G289" s="223"/>
      <c r="H289" s="110"/>
      <c r="J289" s="106"/>
    </row>
    <row r="290" spans="1:10" ht="18.75">
      <c r="A290" s="214"/>
      <c r="B290" s="113" t="s">
        <v>821</v>
      </c>
      <c r="C290" s="114" t="s">
        <v>1786</v>
      </c>
      <c r="D290" s="109">
        <f>+'Alimentazione CE Costi'!K254+'Alimentazione CE Costi'!K255</f>
        <v>0</v>
      </c>
      <c r="E290" s="109">
        <f>+'Alimentazione CE Costi'!N254+'Alimentazione CE Costi'!N255</f>
        <v>0</v>
      </c>
      <c r="F290" s="74"/>
      <c r="G290" s="223"/>
      <c r="H290" s="110"/>
      <c r="J290" s="106"/>
    </row>
    <row r="291" spans="1:10" ht="25.5">
      <c r="A291" s="214"/>
      <c r="B291" s="159" t="s">
        <v>824</v>
      </c>
      <c r="C291" s="160" t="s">
        <v>1787</v>
      </c>
      <c r="D291" s="146">
        <f t="shared" ref="D291" si="104">SUM(D292:D298)</f>
        <v>1011880.75</v>
      </c>
      <c r="E291" s="146">
        <f t="shared" ref="E291" si="105">SUM(E292:E298)</f>
        <v>964672.45</v>
      </c>
      <c r="F291" s="74" t="s">
        <v>2117</v>
      </c>
      <c r="G291" s="223"/>
      <c r="H291" s="110"/>
      <c r="J291" s="106"/>
    </row>
    <row r="292" spans="1:10" ht="25.5">
      <c r="A292" s="214"/>
      <c r="B292" s="113" t="s">
        <v>826</v>
      </c>
      <c r="C292" s="114" t="s">
        <v>1788</v>
      </c>
      <c r="D292" s="109">
        <f>+'Alimentazione CE Costi'!K257</f>
        <v>69300</v>
      </c>
      <c r="E292" s="109">
        <f>+'Alimentazione CE Costi'!N257</f>
        <v>28300</v>
      </c>
      <c r="F292" s="74"/>
      <c r="G292" s="223"/>
      <c r="H292" s="110"/>
      <c r="J292" s="106"/>
    </row>
    <row r="293" spans="1:10" ht="25.5">
      <c r="A293" s="214"/>
      <c r="B293" s="113" t="s">
        <v>828</v>
      </c>
      <c r="C293" s="114" t="s">
        <v>1789</v>
      </c>
      <c r="D293" s="109">
        <f>+'Alimentazione CE Costi'!K258</f>
        <v>662451.44999999995</v>
      </c>
      <c r="E293" s="109">
        <f>+'Alimentazione CE Costi'!N258</f>
        <v>633854.23</v>
      </c>
      <c r="F293" s="74"/>
      <c r="G293" s="223"/>
      <c r="H293" s="110"/>
      <c r="J293" s="106"/>
    </row>
    <row r="294" spans="1:10" ht="25.5">
      <c r="A294" s="214"/>
      <c r="B294" s="113" t="s">
        <v>830</v>
      </c>
      <c r="C294" s="114" t="s">
        <v>1790</v>
      </c>
      <c r="D294" s="109">
        <f>+'Alimentazione CE Costi'!K259</f>
        <v>0</v>
      </c>
      <c r="E294" s="109">
        <f>+'Alimentazione CE Costi'!N259</f>
        <v>0</v>
      </c>
      <c r="F294" s="74"/>
      <c r="G294" s="223"/>
      <c r="H294" s="110"/>
      <c r="J294" s="106"/>
    </row>
    <row r="295" spans="1:10" ht="38.25">
      <c r="A295" s="214"/>
      <c r="B295" s="113" t="s">
        <v>832</v>
      </c>
      <c r="C295" s="114" t="s">
        <v>1791</v>
      </c>
      <c r="D295" s="109">
        <f>+'Alimentazione CE Costi'!K261+'Alimentazione CE Costi'!K262+'Alimentazione CE Costi'!K263+'Alimentazione CE Costi'!K264</f>
        <v>203070.73</v>
      </c>
      <c r="E295" s="109">
        <f>+'Alimentazione CE Costi'!N261+'Alimentazione CE Costi'!N262+'Alimentazione CE Costi'!N263+'Alimentazione CE Costi'!N264</f>
        <v>232988.95</v>
      </c>
      <c r="F295" s="74"/>
      <c r="G295" s="223"/>
      <c r="H295" s="110"/>
      <c r="J295" s="106"/>
    </row>
    <row r="296" spans="1:10" ht="51">
      <c r="A296" s="214" t="s">
        <v>1529</v>
      </c>
      <c r="B296" s="113" t="s">
        <v>838</v>
      </c>
      <c r="C296" s="114" t="s">
        <v>1792</v>
      </c>
      <c r="D296" s="109">
        <f>+'Alimentazione CE Costi'!K266+'Alimentazione CE Costi'!K267+'Alimentazione CE Costi'!K268+'Alimentazione CE Costi'!K269</f>
        <v>0</v>
      </c>
      <c r="E296" s="109">
        <f>+'Alimentazione CE Costi'!N266+'Alimentazione CE Costi'!N267+'Alimentazione CE Costi'!N268+'Alimentazione CE Costi'!N269</f>
        <v>0</v>
      </c>
      <c r="F296" s="74"/>
      <c r="G296" s="223"/>
      <c r="H296" s="110"/>
      <c r="J296" s="106"/>
    </row>
    <row r="297" spans="1:10" ht="25.5">
      <c r="A297" s="214"/>
      <c r="B297" s="113" t="s">
        <v>840</v>
      </c>
      <c r="C297" s="114" t="s">
        <v>1793</v>
      </c>
      <c r="D297" s="109">
        <f>+ROUND(SUM('Alimentazione CE Costi'!K271:K281),2)</f>
        <v>77058.570000000007</v>
      </c>
      <c r="E297" s="109">
        <f>+ROUND(SUM('Alimentazione CE Costi'!N271:N281),2)</f>
        <v>69529.27</v>
      </c>
      <c r="F297" s="74"/>
      <c r="G297" s="223"/>
      <c r="H297" s="110"/>
      <c r="J297" s="106"/>
    </row>
    <row r="298" spans="1:10" ht="38.25">
      <c r="A298" s="214" t="s">
        <v>1529</v>
      </c>
      <c r="B298" s="113" t="s">
        <v>851</v>
      </c>
      <c r="C298" s="114" t="s">
        <v>1794</v>
      </c>
      <c r="D298" s="109">
        <f>+ROUND(SUM('Alimentazione CE Costi'!K283:K291),2)</f>
        <v>0</v>
      </c>
      <c r="E298" s="109">
        <f>+ROUND(SUM('Alimentazione CE Costi'!N283:N291),2)</f>
        <v>0</v>
      </c>
      <c r="F298" s="74"/>
      <c r="G298" s="223"/>
      <c r="H298" s="110"/>
      <c r="J298" s="106"/>
    </row>
    <row r="299" spans="1:10" ht="18.75">
      <c r="A299" s="214"/>
      <c r="B299" s="159" t="s">
        <v>853</v>
      </c>
      <c r="C299" s="160" t="s">
        <v>1795</v>
      </c>
      <c r="D299" s="146">
        <f t="shared" ref="D299" si="106">SUM(D300:D306)</f>
        <v>2775746.3</v>
      </c>
      <c r="E299" s="146">
        <f t="shared" ref="E299" si="107">SUM(E300:E306)</f>
        <v>2378139.86</v>
      </c>
      <c r="F299" s="74" t="s">
        <v>2117</v>
      </c>
      <c r="G299" s="223"/>
      <c r="H299" s="110"/>
      <c r="J299" s="106"/>
    </row>
    <row r="300" spans="1:10" ht="18.75">
      <c r="A300" s="214"/>
      <c r="B300" s="113" t="s">
        <v>855</v>
      </c>
      <c r="C300" s="114" t="s">
        <v>1796</v>
      </c>
      <c r="D300" s="109">
        <f>+'Alimentazione CE Costi'!K293</f>
        <v>0</v>
      </c>
      <c r="E300" s="109">
        <f>+'Alimentazione CE Costi'!N293</f>
        <v>0</v>
      </c>
      <c r="F300" s="74"/>
      <c r="G300" s="223"/>
      <c r="H300" s="110"/>
      <c r="J300" s="106"/>
    </row>
    <row r="301" spans="1:10" ht="18.75">
      <c r="A301" s="214"/>
      <c r="B301" s="113" t="s">
        <v>857</v>
      </c>
      <c r="C301" s="114" t="s">
        <v>1797</v>
      </c>
      <c r="D301" s="109">
        <f>+'Alimentazione CE Costi'!K294</f>
        <v>0</v>
      </c>
      <c r="E301" s="109">
        <f>+'Alimentazione CE Costi'!N294</f>
        <v>0</v>
      </c>
      <c r="F301" s="74"/>
      <c r="G301" s="223"/>
      <c r="H301" s="110"/>
      <c r="J301" s="106"/>
    </row>
    <row r="302" spans="1:10" ht="25.5">
      <c r="A302" s="214"/>
      <c r="B302" s="113" t="s">
        <v>859</v>
      </c>
      <c r="C302" s="114" t="s">
        <v>1798</v>
      </c>
      <c r="D302" s="109">
        <f>+'Alimentazione CE Costi'!K295</f>
        <v>0</v>
      </c>
      <c r="E302" s="109">
        <f>+'Alimentazione CE Costi'!N295</f>
        <v>0</v>
      </c>
      <c r="F302" s="74"/>
      <c r="G302" s="223"/>
      <c r="H302" s="110"/>
      <c r="J302" s="106"/>
    </row>
    <row r="303" spans="1:10" ht="18.75">
      <c r="A303" s="214"/>
      <c r="B303" s="113" t="s">
        <v>861</v>
      </c>
      <c r="C303" s="114" t="s">
        <v>1799</v>
      </c>
      <c r="D303" s="109">
        <f>+'Alimentazione CE Costi'!K296</f>
        <v>0</v>
      </c>
      <c r="E303" s="109">
        <f>+'Alimentazione CE Costi'!N296</f>
        <v>0</v>
      </c>
      <c r="F303" s="74"/>
      <c r="G303" s="223"/>
      <c r="H303" s="110"/>
      <c r="J303" s="106"/>
    </row>
    <row r="304" spans="1:10" ht="18.75">
      <c r="A304" s="214"/>
      <c r="B304" s="113" t="s">
        <v>863</v>
      </c>
      <c r="C304" s="114" t="s">
        <v>1800</v>
      </c>
      <c r="D304" s="109">
        <f>+ROUND(SUM('Alimentazione CE Costi'!K298:K307),2)</f>
        <v>1135135.1399999999</v>
      </c>
      <c r="E304" s="109">
        <f>+ROUND(SUM('Alimentazione CE Costi'!N298:N307),2)</f>
        <v>696802.86</v>
      </c>
      <c r="F304" s="74"/>
      <c r="G304" s="223"/>
      <c r="H304" s="110"/>
      <c r="J304" s="106"/>
    </row>
    <row r="305" spans="1:10" ht="25.5">
      <c r="A305" s="214" t="s">
        <v>1529</v>
      </c>
      <c r="B305" s="113" t="s">
        <v>874</v>
      </c>
      <c r="C305" s="114" t="s">
        <v>1801</v>
      </c>
      <c r="D305" s="109">
        <f>+'Alimentazione CE Costi'!K309+'Alimentazione CE Costi'!K310</f>
        <v>1640611.16</v>
      </c>
      <c r="E305" s="109">
        <f>+'Alimentazione CE Costi'!N309+'Alimentazione CE Costi'!N310</f>
        <v>1681337</v>
      </c>
      <c r="F305" s="74"/>
      <c r="G305" s="223"/>
      <c r="H305" s="110"/>
      <c r="J305" s="106"/>
    </row>
    <row r="306" spans="1:10" ht="18.75">
      <c r="A306" s="214" t="s">
        <v>1529</v>
      </c>
      <c r="B306" s="113" t="s">
        <v>878</v>
      </c>
      <c r="C306" s="114" t="s">
        <v>1802</v>
      </c>
      <c r="D306" s="109">
        <f>+'Alimentazione CE Costi'!K311</f>
        <v>0</v>
      </c>
      <c r="E306" s="109">
        <f>+'Alimentazione CE Costi'!N311</f>
        <v>0</v>
      </c>
      <c r="F306" s="74"/>
      <c r="G306" s="223"/>
      <c r="H306" s="120"/>
      <c r="J306" s="106"/>
    </row>
    <row r="307" spans="1:10" ht="25.5">
      <c r="A307" s="214"/>
      <c r="B307" s="159" t="s">
        <v>880</v>
      </c>
      <c r="C307" s="160" t="s">
        <v>1803</v>
      </c>
      <c r="D307" s="146">
        <f t="shared" ref="D307" si="108">SUM(D308:D310,D317)</f>
        <v>3486531.94</v>
      </c>
      <c r="E307" s="146">
        <f t="shared" ref="E307" si="109">SUM(E308:E310,E317)</f>
        <v>3092473.2199999997</v>
      </c>
      <c r="F307" s="74" t="s">
        <v>2117</v>
      </c>
      <c r="G307" s="223"/>
      <c r="H307" s="110"/>
      <c r="J307" s="106"/>
    </row>
    <row r="308" spans="1:10" ht="25.5">
      <c r="A308" s="216" t="s">
        <v>1529</v>
      </c>
      <c r="B308" s="113" t="s">
        <v>882</v>
      </c>
      <c r="C308" s="114" t="s">
        <v>1804</v>
      </c>
      <c r="D308" s="109">
        <f>+'Alimentazione CE Costi'!K313</f>
        <v>180850.48</v>
      </c>
      <c r="E308" s="109">
        <f>+'Alimentazione CE Costi'!N313</f>
        <v>74602.880000000005</v>
      </c>
      <c r="F308" s="355"/>
      <c r="G308" s="223"/>
      <c r="H308" s="110"/>
      <c r="J308" s="106"/>
    </row>
    <row r="309" spans="1:10" ht="25.5">
      <c r="A309" s="216"/>
      <c r="B309" s="113" t="s">
        <v>884</v>
      </c>
      <c r="C309" s="114" t="s">
        <v>1805</v>
      </c>
      <c r="D309" s="109">
        <f>+'Alimentazione CE Costi'!K314</f>
        <v>0</v>
      </c>
      <c r="E309" s="109">
        <f>+'Alimentazione CE Costi'!N314</f>
        <v>5201.5</v>
      </c>
      <c r="F309" s="355"/>
      <c r="G309" s="223"/>
      <c r="H309" s="110"/>
      <c r="J309" s="106"/>
    </row>
    <row r="310" spans="1:10" ht="25.5">
      <c r="A310" s="216"/>
      <c r="B310" s="150" t="s">
        <v>886</v>
      </c>
      <c r="C310" s="151" t="s">
        <v>1806</v>
      </c>
      <c r="D310" s="149">
        <f t="shared" ref="D310" si="110">SUM(D311:D316)</f>
        <v>3300030.58</v>
      </c>
      <c r="E310" s="149">
        <f t="shared" ref="E310" si="111">SUM(E311:E316)</f>
        <v>2978856.61</v>
      </c>
      <c r="F310" s="74" t="s">
        <v>2117</v>
      </c>
      <c r="G310" s="223"/>
      <c r="H310" s="110"/>
      <c r="J310" s="106"/>
    </row>
    <row r="311" spans="1:10" ht="25.5">
      <c r="A311" s="216"/>
      <c r="B311" s="115" t="s">
        <v>888</v>
      </c>
      <c r="C311" s="116" t="s">
        <v>1807</v>
      </c>
      <c r="D311" s="109">
        <f>+'Alimentazione CE Costi'!K316</f>
        <v>175640.46</v>
      </c>
      <c r="E311" s="109">
        <f>+'Alimentazione CE Costi'!N316</f>
        <v>174418.13</v>
      </c>
      <c r="F311" s="355"/>
      <c r="G311" s="223"/>
      <c r="H311" s="110"/>
      <c r="J311" s="106"/>
    </row>
    <row r="312" spans="1:10" ht="25.5">
      <c r="A312" s="216"/>
      <c r="B312" s="115" t="s">
        <v>890</v>
      </c>
      <c r="C312" s="116" t="s">
        <v>1808</v>
      </c>
      <c r="D312" s="109">
        <f>+'Alimentazione CE Costi'!K318+'Alimentazione CE Costi'!K319+'Alimentazione CE Costi'!K320</f>
        <v>47853</v>
      </c>
      <c r="E312" s="109">
        <f>+'Alimentazione CE Costi'!N318+'Alimentazione CE Costi'!N319+'Alimentazione CE Costi'!N320</f>
        <v>67745</v>
      </c>
      <c r="F312" s="355"/>
      <c r="G312" s="223"/>
      <c r="H312" s="110"/>
      <c r="J312" s="106"/>
    </row>
    <row r="313" spans="1:10" ht="25.5">
      <c r="A313" s="216"/>
      <c r="B313" s="115" t="s">
        <v>895</v>
      </c>
      <c r="C313" s="116" t="s">
        <v>1809</v>
      </c>
      <c r="D313" s="109">
        <f>+'Alimentazione CE Costi'!K322+'Alimentazione CE Costi'!K323+'Alimentazione CE Costi'!K324+'Alimentazione CE Costi'!K325</f>
        <v>167914.73</v>
      </c>
      <c r="E313" s="109">
        <f>+'Alimentazione CE Costi'!N322+'Alimentazione CE Costi'!N323+'Alimentazione CE Costi'!N324+'Alimentazione CE Costi'!N325</f>
        <v>230922.44</v>
      </c>
      <c r="F313" s="355"/>
      <c r="G313" s="223"/>
      <c r="H313" s="110"/>
      <c r="J313" s="106"/>
    </row>
    <row r="314" spans="1:10" ht="25.5">
      <c r="A314" s="216"/>
      <c r="B314" s="115" t="s">
        <v>901</v>
      </c>
      <c r="C314" s="116" t="s">
        <v>1810</v>
      </c>
      <c r="D314" s="109">
        <f>+SUM('Alimentazione CE Costi'!K327:K337)</f>
        <v>1029037.6300000001</v>
      </c>
      <c r="E314" s="109">
        <f>+SUM('Alimentazione CE Costi'!N327:N337)</f>
        <v>898465.64</v>
      </c>
      <c r="F314" s="355"/>
      <c r="G314" s="223"/>
      <c r="H314" s="110"/>
      <c r="J314" s="106"/>
    </row>
    <row r="315" spans="1:10" ht="18.75">
      <c r="A315" s="216"/>
      <c r="B315" s="115" t="s">
        <v>904</v>
      </c>
      <c r="C315" s="116" t="s">
        <v>1811</v>
      </c>
      <c r="D315" s="109">
        <f>+'Alimentazione CE Costi'!K338</f>
        <v>45029.78</v>
      </c>
      <c r="E315" s="109">
        <f>+'Alimentazione CE Costi'!N338</f>
        <v>39104.99</v>
      </c>
      <c r="F315" s="355"/>
      <c r="G315" s="223"/>
      <c r="H315" s="110"/>
      <c r="J315" s="106"/>
    </row>
    <row r="316" spans="1:10" ht="25.5">
      <c r="A316" s="216"/>
      <c r="B316" s="115" t="s">
        <v>906</v>
      </c>
      <c r="C316" s="116" t="s">
        <v>1812</v>
      </c>
      <c r="D316" s="109">
        <f>+ROUND(SUM('Alimentazione CE Costi'!K340:K348),2)</f>
        <v>1834554.98</v>
      </c>
      <c r="E316" s="109">
        <f>+ROUND(SUM('Alimentazione CE Costi'!N340:N348),2)</f>
        <v>1568200.41</v>
      </c>
      <c r="F316" s="355"/>
      <c r="G316" s="223"/>
      <c r="H316" s="110"/>
      <c r="J316" s="106"/>
    </row>
    <row r="317" spans="1:10" ht="25.5">
      <c r="A317" s="216"/>
      <c r="B317" s="150" t="s">
        <v>917</v>
      </c>
      <c r="C317" s="151" t="s">
        <v>1813</v>
      </c>
      <c r="D317" s="149">
        <f t="shared" ref="D317" si="112">SUM(D318:D320)</f>
        <v>5650.88</v>
      </c>
      <c r="E317" s="149">
        <f t="shared" ref="E317" si="113">SUM(E318:E320)</f>
        <v>33812.230000000003</v>
      </c>
      <c r="F317" s="74" t="s">
        <v>2117</v>
      </c>
      <c r="G317" s="223"/>
      <c r="H317" s="110"/>
      <c r="J317" s="106"/>
    </row>
    <row r="318" spans="1:10" ht="25.5">
      <c r="A318" s="216" t="s">
        <v>1529</v>
      </c>
      <c r="B318" s="115" t="s">
        <v>919</v>
      </c>
      <c r="C318" s="116" t="s">
        <v>1814</v>
      </c>
      <c r="D318" s="109">
        <f>+'Alimentazione CE Costi'!K350</f>
        <v>0</v>
      </c>
      <c r="E318" s="109">
        <f>+'Alimentazione CE Costi'!N350</f>
        <v>0</v>
      </c>
      <c r="F318" s="355"/>
      <c r="G318" s="223"/>
      <c r="H318" s="110"/>
      <c r="J318" s="106"/>
    </row>
    <row r="319" spans="1:10" ht="25.5">
      <c r="A319" s="216"/>
      <c r="B319" s="115" t="s">
        <v>921</v>
      </c>
      <c r="C319" s="116" t="s">
        <v>1815</v>
      </c>
      <c r="D319" s="109">
        <f>+'Alimentazione CE Costi'!K351</f>
        <v>0</v>
      </c>
      <c r="E319" s="109">
        <f>+'Alimentazione CE Costi'!N351</f>
        <v>0</v>
      </c>
      <c r="F319" s="355"/>
      <c r="G319" s="223"/>
      <c r="H319" s="110"/>
      <c r="J319" s="106"/>
    </row>
    <row r="320" spans="1:10" ht="25.5">
      <c r="A320" s="216" t="s">
        <v>1578</v>
      </c>
      <c r="B320" s="115" t="s">
        <v>923</v>
      </c>
      <c r="C320" s="116" t="s">
        <v>1816</v>
      </c>
      <c r="D320" s="109">
        <f>+'Alimentazione CE Costi'!K352</f>
        <v>5650.88</v>
      </c>
      <c r="E320" s="109">
        <f>+'Alimentazione CE Costi'!N352</f>
        <v>33812.230000000003</v>
      </c>
      <c r="F320" s="355"/>
      <c r="G320" s="223"/>
      <c r="H320" s="110"/>
      <c r="J320" s="106"/>
    </row>
    <row r="321" spans="1:10" ht="25.5">
      <c r="A321" s="216"/>
      <c r="B321" s="159" t="s">
        <v>925</v>
      </c>
      <c r="C321" s="160" t="s">
        <v>1817</v>
      </c>
      <c r="D321" s="146">
        <f t="shared" ref="D321" si="114">SUM(D322:D328)</f>
        <v>585234.97</v>
      </c>
      <c r="E321" s="146">
        <f t="shared" ref="E321" si="115">SUM(E322:E328)</f>
        <v>711801.34</v>
      </c>
      <c r="F321" s="74" t="s">
        <v>2117</v>
      </c>
      <c r="G321" s="223"/>
      <c r="H321" s="110"/>
      <c r="J321" s="106"/>
    </row>
    <row r="322" spans="1:10" ht="38.25">
      <c r="A322" s="216" t="s">
        <v>1529</v>
      </c>
      <c r="B322" s="113" t="s">
        <v>927</v>
      </c>
      <c r="C322" s="114" t="s">
        <v>1818</v>
      </c>
      <c r="D322" s="109">
        <f>+'Alimentazione CE Costi'!K354</f>
        <v>0</v>
      </c>
      <c r="E322" s="109">
        <f>+'Alimentazione CE Costi'!N354</f>
        <v>0</v>
      </c>
      <c r="F322" s="355"/>
      <c r="G322" s="223"/>
      <c r="H322" s="110"/>
      <c r="J322" s="106"/>
    </row>
    <row r="323" spans="1:10" ht="25.5">
      <c r="A323" s="216"/>
      <c r="B323" s="113" t="s">
        <v>929</v>
      </c>
      <c r="C323" s="114" t="s">
        <v>1819</v>
      </c>
      <c r="D323" s="109">
        <f>+'Alimentazione CE Costi'!K355</f>
        <v>0</v>
      </c>
      <c r="E323" s="109">
        <f>+'Alimentazione CE Costi'!N355</f>
        <v>0</v>
      </c>
      <c r="F323" s="355"/>
      <c r="G323" s="223"/>
      <c r="H323" s="110"/>
      <c r="J323" s="106"/>
    </row>
    <row r="324" spans="1:10" ht="25.5">
      <c r="A324" s="216" t="s">
        <v>1578</v>
      </c>
      <c r="B324" s="113" t="s">
        <v>931</v>
      </c>
      <c r="C324" s="114" t="s">
        <v>1820</v>
      </c>
      <c r="D324" s="109">
        <f>+'Alimentazione CE Costi'!K356</f>
        <v>0</v>
      </c>
      <c r="E324" s="109">
        <f>+'Alimentazione CE Costi'!N356</f>
        <v>0</v>
      </c>
      <c r="F324" s="355"/>
      <c r="G324" s="223"/>
      <c r="H324" s="110"/>
      <c r="J324" s="106"/>
    </row>
    <row r="325" spans="1:10" ht="18.75">
      <c r="A325" s="216"/>
      <c r="B325" s="113" t="s">
        <v>933</v>
      </c>
      <c r="C325" s="114" t="s">
        <v>1821</v>
      </c>
      <c r="D325" s="109">
        <f>+'Alimentazione CE Costi'!K358+'Alimentazione CE Costi'!K361+'Alimentazione CE Costi'!K359+'Alimentazione CE Costi'!K360</f>
        <v>585234.97</v>
      </c>
      <c r="E325" s="109">
        <f>+'Alimentazione CE Costi'!N358+'Alimentazione CE Costi'!N361+'Alimentazione CE Costi'!N359+'Alimentazione CE Costi'!N360</f>
        <v>711801.34</v>
      </c>
      <c r="F325" s="355"/>
      <c r="G325" s="223"/>
      <c r="H325" s="110"/>
      <c r="J325" s="106"/>
    </row>
    <row r="326" spans="1:10" ht="25.5">
      <c r="A326" s="214"/>
      <c r="B326" s="113" t="s">
        <v>936</v>
      </c>
      <c r="C326" s="114" t="s">
        <v>1822</v>
      </c>
      <c r="D326" s="109">
        <f>+'Alimentazione CE Costi'!K362</f>
        <v>0</v>
      </c>
      <c r="E326" s="109">
        <f>+'Alimentazione CE Costi'!N362</f>
        <v>0</v>
      </c>
      <c r="F326" s="74"/>
      <c r="G326" s="223"/>
      <c r="H326" s="110"/>
      <c r="J326" s="106"/>
    </row>
    <row r="327" spans="1:10" ht="25.5">
      <c r="A327" s="214" t="s">
        <v>1529</v>
      </c>
      <c r="B327" s="113" t="s">
        <v>938</v>
      </c>
      <c r="C327" s="114" t="s">
        <v>1823</v>
      </c>
      <c r="D327" s="109">
        <f>+'Alimentazione CE Costi'!K363</f>
        <v>0</v>
      </c>
      <c r="E327" s="109">
        <f>+'Alimentazione CE Costi'!N363</f>
        <v>0</v>
      </c>
      <c r="F327" s="74"/>
      <c r="G327" s="223"/>
      <c r="H327" s="110"/>
      <c r="J327" s="106"/>
    </row>
    <row r="328" spans="1:10" ht="25.5">
      <c r="A328" s="214" t="s">
        <v>1578</v>
      </c>
      <c r="B328" s="113" t="s">
        <v>940</v>
      </c>
      <c r="C328" s="114" t="s">
        <v>1824</v>
      </c>
      <c r="D328" s="109">
        <f>+'Alimentazione CE Costi'!K364</f>
        <v>0</v>
      </c>
      <c r="E328" s="109">
        <f>+'Alimentazione CE Costi'!N364</f>
        <v>0</v>
      </c>
      <c r="F328" s="74"/>
      <c r="G328" s="223"/>
      <c r="H328" s="110"/>
      <c r="J328" s="106"/>
    </row>
    <row r="329" spans="1:10" ht="25.5">
      <c r="A329" s="217" t="s">
        <v>1574</v>
      </c>
      <c r="B329" s="111" t="s">
        <v>941</v>
      </c>
      <c r="C329" s="112" t="s">
        <v>1825</v>
      </c>
      <c r="D329" s="109">
        <f>+'Alimentazione CE Costi'!K365</f>
        <v>0</v>
      </c>
      <c r="E329" s="109">
        <f>+'Alimentazione CE Costi'!N365</f>
        <v>0</v>
      </c>
      <c r="F329" s="74"/>
      <c r="G329" s="223"/>
      <c r="H329" s="110"/>
      <c r="J329" s="106"/>
    </row>
    <row r="330" spans="1:10" ht="18.75">
      <c r="A330" s="214"/>
      <c r="B330" s="133" t="s">
        <v>943</v>
      </c>
      <c r="C330" s="134" t="s">
        <v>1826</v>
      </c>
      <c r="D330" s="132">
        <f t="shared" ref="D330" si="116">+D331+D351+D365</f>
        <v>12240543.739999998</v>
      </c>
      <c r="E330" s="132">
        <f t="shared" ref="E330" si="117">+E331+E351+E365</f>
        <v>11652254.180000002</v>
      </c>
      <c r="F330" s="74" t="s">
        <v>2117</v>
      </c>
      <c r="G330" s="223"/>
      <c r="H330" s="110"/>
      <c r="J330" s="106"/>
    </row>
    <row r="331" spans="1:10" ht="18.75">
      <c r="A331" s="214"/>
      <c r="B331" s="159" t="s">
        <v>945</v>
      </c>
      <c r="C331" s="160" t="s">
        <v>1827</v>
      </c>
      <c r="D331" s="146">
        <f t="shared" ref="D331" si="118">+D332+D333+D334+D337+D338+D339+D340+D341+D342+D343+D344+D347</f>
        <v>11540296.85</v>
      </c>
      <c r="E331" s="146">
        <f t="shared" ref="E331" si="119">+E332+E333+E334+E337+E338+E339+E340+E341+E342+E343+E344+E347</f>
        <v>11204473.220000001</v>
      </c>
      <c r="F331" s="74" t="s">
        <v>2117</v>
      </c>
      <c r="G331" s="223"/>
      <c r="H331" s="110"/>
      <c r="J331" s="106"/>
    </row>
    <row r="332" spans="1:10" ht="18.75">
      <c r="A332" s="214"/>
      <c r="B332" s="113" t="s">
        <v>947</v>
      </c>
      <c r="C332" s="114" t="s">
        <v>1828</v>
      </c>
      <c r="D332" s="109">
        <f>+'Alimentazione CE Costi'!K368</f>
        <v>722764.54</v>
      </c>
      <c r="E332" s="109">
        <f>+'Alimentazione CE Costi'!N368</f>
        <v>582432.28</v>
      </c>
      <c r="F332" s="74"/>
      <c r="G332" s="223"/>
      <c r="H332" s="110"/>
      <c r="J332" s="106"/>
    </row>
    <row r="333" spans="1:10" ht="18.75">
      <c r="A333" s="214"/>
      <c r="B333" s="113" t="s">
        <v>949</v>
      </c>
      <c r="C333" s="114" t="s">
        <v>1829</v>
      </c>
      <c r="D333" s="109">
        <f>+'Alimentazione CE Costi'!K369</f>
        <v>2007822.18</v>
      </c>
      <c r="E333" s="109">
        <f>+'Alimentazione CE Costi'!N369</f>
        <v>1945000.42</v>
      </c>
      <c r="F333" s="74"/>
      <c r="G333" s="223"/>
      <c r="H333" s="110"/>
      <c r="J333" s="106"/>
    </row>
    <row r="334" spans="1:10" ht="18.75">
      <c r="A334" s="214"/>
      <c r="B334" s="150" t="s">
        <v>951</v>
      </c>
      <c r="C334" s="151" t="s">
        <v>1830</v>
      </c>
      <c r="D334" s="149">
        <f t="shared" ref="D334" si="120">+D335+D336</f>
        <v>873395.76</v>
      </c>
      <c r="E334" s="149">
        <f t="shared" ref="E334" si="121">+E335+E336</f>
        <v>947647.64</v>
      </c>
      <c r="F334" s="74" t="s">
        <v>2117</v>
      </c>
      <c r="G334" s="223"/>
      <c r="H334" s="110"/>
      <c r="J334" s="106"/>
    </row>
    <row r="335" spans="1:10" ht="18.75">
      <c r="A335" s="214"/>
      <c r="B335" s="113" t="s">
        <v>953</v>
      </c>
      <c r="C335" s="114" t="s">
        <v>1831</v>
      </c>
      <c r="D335" s="109">
        <f>+'Alimentazione CE Costi'!K371</f>
        <v>248308.61</v>
      </c>
      <c r="E335" s="109">
        <f>+'Alimentazione CE Costi'!N371</f>
        <v>224453.62</v>
      </c>
      <c r="F335" s="74"/>
      <c r="G335" s="223"/>
      <c r="H335" s="110"/>
      <c r="J335" s="106"/>
    </row>
    <row r="336" spans="1:10" ht="18.75">
      <c r="A336" s="214"/>
      <c r="B336" s="113" t="s">
        <v>955</v>
      </c>
      <c r="C336" s="114" t="s">
        <v>1832</v>
      </c>
      <c r="D336" s="109">
        <f>+'Alimentazione CE Costi'!K372</f>
        <v>625087.15</v>
      </c>
      <c r="E336" s="109">
        <f>+'Alimentazione CE Costi'!N372</f>
        <v>723194.02</v>
      </c>
      <c r="F336" s="74"/>
      <c r="G336" s="223"/>
      <c r="H336" s="110"/>
      <c r="J336" s="106"/>
    </row>
    <row r="337" spans="1:10" ht="18.75">
      <c r="A337" s="214"/>
      <c r="B337" s="113" t="s">
        <v>957</v>
      </c>
      <c r="C337" s="114" t="s">
        <v>1833</v>
      </c>
      <c r="D337" s="109">
        <f>+'Alimentazione CE Costi'!K373</f>
        <v>1880945.15</v>
      </c>
      <c r="E337" s="109">
        <f>+'Alimentazione CE Costi'!N373</f>
        <v>1740995.79</v>
      </c>
      <c r="F337" s="74"/>
      <c r="G337" s="223"/>
      <c r="H337" s="110"/>
      <c r="J337" s="106"/>
    </row>
    <row r="338" spans="1:10" ht="18.75">
      <c r="A338" s="214"/>
      <c r="B338" s="113" t="s">
        <v>959</v>
      </c>
      <c r="C338" s="114" t="s">
        <v>1834</v>
      </c>
      <c r="D338" s="109">
        <f>+'Alimentazione CE Costi'!K375+'Alimentazione CE Costi'!K376+'Alimentazione CE Costi'!K377</f>
        <v>0</v>
      </c>
      <c r="E338" s="109">
        <f>+'Alimentazione CE Costi'!N375+'Alimentazione CE Costi'!N376+'Alimentazione CE Costi'!N377</f>
        <v>0</v>
      </c>
      <c r="F338" s="74"/>
      <c r="G338" s="223"/>
      <c r="H338" s="110"/>
      <c r="J338" s="106"/>
    </row>
    <row r="339" spans="1:10" ht="18.75">
      <c r="A339" s="214"/>
      <c r="B339" s="113" t="s">
        <v>964</v>
      </c>
      <c r="C339" s="114" t="s">
        <v>1835</v>
      </c>
      <c r="D339" s="109">
        <f>+'Alimentazione CE Costi'!K378</f>
        <v>321857.44</v>
      </c>
      <c r="E339" s="109">
        <f>+'Alimentazione CE Costi'!N378</f>
        <v>328003.09999999998</v>
      </c>
      <c r="F339" s="74"/>
      <c r="G339" s="223"/>
      <c r="H339" s="110"/>
      <c r="J339" s="106"/>
    </row>
    <row r="340" spans="1:10" ht="18.75">
      <c r="A340" s="214"/>
      <c r="B340" s="113" t="s">
        <v>966</v>
      </c>
      <c r="C340" s="114" t="s">
        <v>1836</v>
      </c>
      <c r="D340" s="109">
        <f>+'Alimentazione CE Costi'!K379</f>
        <v>364197.11</v>
      </c>
      <c r="E340" s="109">
        <f>+'Alimentazione CE Costi'!N379</f>
        <v>353734.55</v>
      </c>
      <c r="F340" s="74"/>
      <c r="G340" s="223"/>
      <c r="H340" s="110"/>
      <c r="J340" s="106"/>
    </row>
    <row r="341" spans="1:10" ht="18.75">
      <c r="A341" s="214"/>
      <c r="B341" s="113" t="s">
        <v>968</v>
      </c>
      <c r="C341" s="114" t="s">
        <v>1837</v>
      </c>
      <c r="D341" s="109">
        <f>+'Alimentazione CE Costi'!K381+'Alimentazione CE Costi'!K382</f>
        <v>87080.85</v>
      </c>
      <c r="E341" s="109">
        <f>+'Alimentazione CE Costi'!N381+'Alimentazione CE Costi'!N382</f>
        <v>90872.7</v>
      </c>
      <c r="F341" s="74"/>
      <c r="G341" s="223"/>
      <c r="H341" s="110"/>
      <c r="J341" s="106"/>
    </row>
    <row r="342" spans="1:10" ht="18.75">
      <c r="A342" s="214"/>
      <c r="B342" s="113" t="s">
        <v>972</v>
      </c>
      <c r="C342" s="114" t="s">
        <v>1838</v>
      </c>
      <c r="D342" s="109">
        <f>+'Alimentazione CE Costi'!K383</f>
        <v>874774.75</v>
      </c>
      <c r="E342" s="109">
        <f>+'Alimentazione CE Costi'!N383</f>
        <v>776536.3</v>
      </c>
      <c r="F342" s="74"/>
      <c r="G342" s="223"/>
      <c r="H342" s="110"/>
      <c r="J342" s="106"/>
    </row>
    <row r="343" spans="1:10" ht="18.75">
      <c r="A343" s="214"/>
      <c r="B343" s="113" t="s">
        <v>974</v>
      </c>
      <c r="C343" s="114" t="s">
        <v>1839</v>
      </c>
      <c r="D343" s="109">
        <f>+ROUND(SUM('Alimentazione CE Costi'!K385:K389),2)</f>
        <v>295137.39</v>
      </c>
      <c r="E343" s="109">
        <f>+ROUND(SUM('Alimentazione CE Costi'!N385:N389),2)</f>
        <v>290087.03999999998</v>
      </c>
      <c r="F343" s="74"/>
      <c r="G343" s="223"/>
      <c r="H343" s="110"/>
      <c r="J343" s="106"/>
    </row>
    <row r="344" spans="1:10" ht="18.75">
      <c r="A344" s="214"/>
      <c r="B344" s="150" t="s">
        <v>980</v>
      </c>
      <c r="C344" s="151" t="s">
        <v>1840</v>
      </c>
      <c r="D344" s="149">
        <f t="shared" ref="D344" si="122">+D345+D346</f>
        <v>85022.82</v>
      </c>
      <c r="E344" s="149">
        <f t="shared" ref="E344" si="123">+E345+E346</f>
        <v>77468.03</v>
      </c>
      <c r="F344" s="74" t="s">
        <v>2117</v>
      </c>
      <c r="G344" s="223"/>
      <c r="H344" s="110"/>
      <c r="J344" s="106"/>
    </row>
    <row r="345" spans="1:10" ht="18.75">
      <c r="A345" s="214"/>
      <c r="B345" s="115" t="s">
        <v>982</v>
      </c>
      <c r="C345" s="116" t="s">
        <v>1841</v>
      </c>
      <c r="D345" s="109">
        <f>+'Alimentazione CE Costi'!K391</f>
        <v>0</v>
      </c>
      <c r="E345" s="109">
        <f>+'Alimentazione CE Costi'!N391</f>
        <v>0</v>
      </c>
      <c r="F345" s="74"/>
      <c r="G345" s="223"/>
      <c r="H345" s="120"/>
      <c r="J345" s="106"/>
    </row>
    <row r="346" spans="1:10" ht="25.5">
      <c r="A346" s="214"/>
      <c r="B346" s="115" t="s">
        <v>984</v>
      </c>
      <c r="C346" s="116" t="s">
        <v>1842</v>
      </c>
      <c r="D346" s="109">
        <f>+'Alimentazione CE Costi'!K392</f>
        <v>85022.82</v>
      </c>
      <c r="E346" s="109">
        <f>+'Alimentazione CE Costi'!N392</f>
        <v>77468.03</v>
      </c>
      <c r="F346" s="74"/>
      <c r="G346" s="223"/>
      <c r="H346" s="110"/>
      <c r="J346" s="106"/>
    </row>
    <row r="347" spans="1:10" ht="18.75">
      <c r="A347" s="214"/>
      <c r="B347" s="150" t="s">
        <v>986</v>
      </c>
      <c r="C347" s="151" t="s">
        <v>1843</v>
      </c>
      <c r="D347" s="149">
        <f t="shared" ref="D347" si="124">+D348+D349+D350</f>
        <v>4027298.86</v>
      </c>
      <c r="E347" s="149">
        <f t="shared" ref="E347" si="125">+E348+E349+E350</f>
        <v>4071695.37</v>
      </c>
      <c r="F347" s="74" t="s">
        <v>2117</v>
      </c>
      <c r="G347" s="223"/>
      <c r="H347" s="110"/>
      <c r="J347" s="106"/>
    </row>
    <row r="348" spans="1:10" ht="25.5">
      <c r="A348" s="214" t="s">
        <v>1529</v>
      </c>
      <c r="B348" s="115" t="s">
        <v>988</v>
      </c>
      <c r="C348" s="116" t="s">
        <v>1844</v>
      </c>
      <c r="D348" s="109">
        <f>+'Alimentazione CE Costi'!K394</f>
        <v>558349.04</v>
      </c>
      <c r="E348" s="109">
        <f>+'Alimentazione CE Costi'!N394</f>
        <v>447140.41000000003</v>
      </c>
      <c r="F348" s="74"/>
      <c r="G348" s="223"/>
      <c r="H348" s="110"/>
      <c r="J348" s="106"/>
    </row>
    <row r="349" spans="1:10" ht="25.5">
      <c r="A349" s="214"/>
      <c r="B349" s="115" t="s">
        <v>990</v>
      </c>
      <c r="C349" s="116" t="s">
        <v>1845</v>
      </c>
      <c r="D349" s="109">
        <f>+'Alimentazione CE Costi'!K396+'Alimentazione CE Costi'!K397</f>
        <v>0</v>
      </c>
      <c r="E349" s="109">
        <f>+'Alimentazione CE Costi'!N396+'Alimentazione CE Costi'!N397</f>
        <v>0</v>
      </c>
      <c r="F349" s="74"/>
      <c r="G349" s="223"/>
      <c r="H349" s="110"/>
      <c r="J349" s="106"/>
    </row>
    <row r="350" spans="1:10" ht="18.75">
      <c r="A350" s="214"/>
      <c r="B350" s="115" t="s">
        <v>994</v>
      </c>
      <c r="C350" s="116" t="s">
        <v>1846</v>
      </c>
      <c r="D350" s="109">
        <f>+ROUND(SUM('Alimentazione CE Costi'!K399:K413),2)</f>
        <v>3468949.82</v>
      </c>
      <c r="E350" s="109">
        <f>+ROUND(SUM('Alimentazione CE Costi'!N399:N413),2)</f>
        <v>3624554.96</v>
      </c>
      <c r="F350" s="74"/>
      <c r="G350" s="223"/>
      <c r="H350" s="110"/>
      <c r="J350" s="106"/>
    </row>
    <row r="351" spans="1:10" ht="25.5">
      <c r="A351" s="214"/>
      <c r="B351" s="159" t="s">
        <v>1010</v>
      </c>
      <c r="C351" s="160" t="s">
        <v>1847</v>
      </c>
      <c r="D351" s="146">
        <f t="shared" ref="D351" si="126">+D352+D353+D354+D361</f>
        <v>478232.95999999996</v>
      </c>
      <c r="E351" s="146">
        <f t="shared" ref="E351" si="127">+E352+E353+E354+E361</f>
        <v>277450.98999999993</v>
      </c>
      <c r="F351" s="74" t="s">
        <v>2117</v>
      </c>
      <c r="G351" s="223"/>
      <c r="H351" s="110"/>
      <c r="J351" s="106"/>
    </row>
    <row r="352" spans="1:10" ht="25.5">
      <c r="A352" s="214" t="s">
        <v>1529</v>
      </c>
      <c r="B352" s="113" t="s">
        <v>1012</v>
      </c>
      <c r="C352" s="114" t="s">
        <v>1848</v>
      </c>
      <c r="D352" s="109">
        <f>+'Alimentazione CE Costi'!K415</f>
        <v>56464.28</v>
      </c>
      <c r="E352" s="109">
        <f>+'Alimentazione CE Costi'!N415</f>
        <v>8009.05</v>
      </c>
      <c r="F352" s="74"/>
      <c r="G352" s="223"/>
      <c r="H352" s="110"/>
      <c r="J352" s="106"/>
    </row>
    <row r="353" spans="1:10" ht="25.5">
      <c r="A353" s="214"/>
      <c r="B353" s="113" t="s">
        <v>1014</v>
      </c>
      <c r="C353" s="114" t="s">
        <v>1849</v>
      </c>
      <c r="D353" s="109">
        <f>+'Alimentazione CE Costi'!K416</f>
        <v>0</v>
      </c>
      <c r="E353" s="109">
        <f>+'Alimentazione CE Costi'!N416</f>
        <v>0</v>
      </c>
      <c r="F353" s="74"/>
      <c r="G353" s="223"/>
      <c r="H353" s="110"/>
      <c r="J353" s="106"/>
    </row>
    <row r="354" spans="1:10" ht="25.5">
      <c r="A354" s="214"/>
      <c r="B354" s="150" t="s">
        <v>1016</v>
      </c>
      <c r="C354" s="151" t="s">
        <v>1850</v>
      </c>
      <c r="D354" s="149">
        <f t="shared" ref="D354" si="128">SUM(D355:D360)</f>
        <v>419018.81</v>
      </c>
      <c r="E354" s="149">
        <f t="shared" ref="E354" si="129">SUM(E355:E360)</f>
        <v>269441.93999999994</v>
      </c>
      <c r="F354" s="74" t="s">
        <v>2117</v>
      </c>
      <c r="G354" s="223"/>
      <c r="H354" s="110"/>
      <c r="J354" s="106"/>
    </row>
    <row r="355" spans="1:10" ht="18.75">
      <c r="A355" s="214"/>
      <c r="B355" s="115" t="s">
        <v>1018</v>
      </c>
      <c r="C355" s="116" t="s">
        <v>1851</v>
      </c>
      <c r="D355" s="109">
        <f>+'Alimentazione CE Costi'!K419+'Alimentazione CE Costi'!K420+'Alimentazione CE Costi'!K421+'Alimentazione CE Costi'!K422+'Alimentazione CE Costi'!K423</f>
        <v>45927.360000000001</v>
      </c>
      <c r="E355" s="109">
        <f>+'Alimentazione CE Costi'!N419+'Alimentazione CE Costi'!N420+'Alimentazione CE Costi'!N421+'Alimentazione CE Costi'!N422+'Alimentazione CE Costi'!N423</f>
        <v>7947.19</v>
      </c>
      <c r="F355" s="74"/>
      <c r="G355" s="223"/>
      <c r="H355" s="110"/>
      <c r="J355" s="106"/>
    </row>
    <row r="356" spans="1:10" ht="25.5">
      <c r="A356" s="214"/>
      <c r="B356" s="115" t="s">
        <v>1025</v>
      </c>
      <c r="C356" s="116" t="s">
        <v>1852</v>
      </c>
      <c r="D356" s="109">
        <f>+'Alimentazione CE Costi'!K424</f>
        <v>0</v>
      </c>
      <c r="E356" s="109">
        <f>+'Alimentazione CE Costi'!N424</f>
        <v>0</v>
      </c>
      <c r="F356" s="74"/>
      <c r="G356" s="223"/>
      <c r="H356" s="110"/>
      <c r="J356" s="106"/>
    </row>
    <row r="357" spans="1:10" ht="25.5">
      <c r="A357" s="214"/>
      <c r="B357" s="115" t="s">
        <v>1027</v>
      </c>
      <c r="C357" s="116" t="s">
        <v>1853</v>
      </c>
      <c r="D357" s="109">
        <f>+'Alimentazione CE Costi'!K425</f>
        <v>0</v>
      </c>
      <c r="E357" s="109">
        <f>+'Alimentazione CE Costi'!N425</f>
        <v>0</v>
      </c>
      <c r="F357" s="74"/>
      <c r="G357" s="223"/>
      <c r="H357" s="110"/>
      <c r="J357" s="106"/>
    </row>
    <row r="358" spans="1:10" ht="18.75">
      <c r="A358" s="214"/>
      <c r="B358" s="115" t="s">
        <v>1029</v>
      </c>
      <c r="C358" s="116" t="s">
        <v>1854</v>
      </c>
      <c r="D358" s="109">
        <f>+'Alimentazione CE Costi'!K426</f>
        <v>351647.76</v>
      </c>
      <c r="E358" s="109">
        <f>+'Alimentazione CE Costi'!N426</f>
        <v>229028.51999999996</v>
      </c>
      <c r="F358" s="74"/>
      <c r="G358" s="223"/>
      <c r="H358" s="110"/>
      <c r="J358" s="106"/>
    </row>
    <row r="359" spans="1:10" ht="25.5">
      <c r="A359" s="214"/>
      <c r="B359" s="115" t="s">
        <v>1031</v>
      </c>
      <c r="C359" s="116" t="s">
        <v>1855</v>
      </c>
      <c r="D359" s="119">
        <f>+SUM('Alimentazione CE Costi'!K428:K432)</f>
        <v>21443.69</v>
      </c>
      <c r="E359" s="119">
        <f>+SUM('Alimentazione CE Costi'!N428:N432)</f>
        <v>32466.23</v>
      </c>
      <c r="F359" s="74"/>
      <c r="G359" s="223"/>
      <c r="H359" s="110"/>
      <c r="J359" s="106"/>
    </row>
    <row r="360" spans="1:10" ht="51">
      <c r="A360" s="214"/>
      <c r="B360" s="115" t="s">
        <v>1037</v>
      </c>
      <c r="C360" s="116" t="s">
        <v>1856</v>
      </c>
      <c r="D360" s="109">
        <f>+'Alimentazione CE Costi'!K433</f>
        <v>0</v>
      </c>
      <c r="E360" s="109">
        <f>+'Alimentazione CE Costi'!N433</f>
        <v>0</v>
      </c>
      <c r="F360" s="74"/>
      <c r="G360" s="223"/>
      <c r="H360" s="110"/>
      <c r="J360" s="106"/>
    </row>
    <row r="361" spans="1:10" ht="25.5">
      <c r="A361" s="214"/>
      <c r="B361" s="150" t="s">
        <v>1039</v>
      </c>
      <c r="C361" s="151" t="s">
        <v>1857</v>
      </c>
      <c r="D361" s="149">
        <f t="shared" ref="D361" si="130">SUM(D362:D364)</f>
        <v>2749.87</v>
      </c>
      <c r="E361" s="149">
        <f t="shared" ref="E361" si="131">SUM(E362:E364)</f>
        <v>0</v>
      </c>
      <c r="F361" s="74" t="s">
        <v>2117</v>
      </c>
      <c r="G361" s="223"/>
      <c r="H361" s="110"/>
      <c r="J361" s="106"/>
    </row>
    <row r="362" spans="1:10" ht="38.25">
      <c r="A362" s="214" t="s">
        <v>1529</v>
      </c>
      <c r="B362" s="115" t="s">
        <v>1041</v>
      </c>
      <c r="C362" s="116" t="s">
        <v>1858</v>
      </c>
      <c r="D362" s="109">
        <f>+'Alimentazione CE Costi'!K435</f>
        <v>0</v>
      </c>
      <c r="E362" s="109">
        <f>+'Alimentazione CE Costi'!N435</f>
        <v>0</v>
      </c>
      <c r="F362" s="74"/>
      <c r="G362" s="223"/>
      <c r="H362" s="110"/>
      <c r="J362" s="106"/>
    </row>
    <row r="363" spans="1:10" ht="38.25">
      <c r="A363" s="214"/>
      <c r="B363" s="115" t="s">
        <v>1043</v>
      </c>
      <c r="C363" s="116" t="s">
        <v>1859</v>
      </c>
      <c r="D363" s="109">
        <f>+'Alimentazione CE Costi'!K436</f>
        <v>2749.87</v>
      </c>
      <c r="E363" s="109">
        <f>+'Alimentazione CE Costi'!N436</f>
        <v>0</v>
      </c>
      <c r="F363" s="74"/>
      <c r="G363" s="223"/>
      <c r="H363" s="110"/>
      <c r="J363" s="106"/>
    </row>
    <row r="364" spans="1:10" ht="38.25">
      <c r="A364" s="214" t="s">
        <v>1578</v>
      </c>
      <c r="B364" s="115" t="s">
        <v>1045</v>
      </c>
      <c r="C364" s="116" t="s">
        <v>1860</v>
      </c>
      <c r="D364" s="109">
        <f>+'Alimentazione CE Costi'!K437</f>
        <v>0</v>
      </c>
      <c r="E364" s="109">
        <f>+'Alimentazione CE Costi'!N437</f>
        <v>0</v>
      </c>
      <c r="F364" s="74"/>
      <c r="G364" s="223"/>
      <c r="H364" s="110"/>
      <c r="J364" s="106"/>
    </row>
    <row r="365" spans="1:10" ht="18.75">
      <c r="A365" s="214"/>
      <c r="B365" s="159" t="s">
        <v>1047</v>
      </c>
      <c r="C365" s="160" t="s">
        <v>1861</v>
      </c>
      <c r="D365" s="146">
        <f t="shared" ref="D365" si="132">+D366+D367</f>
        <v>222013.93</v>
      </c>
      <c r="E365" s="146">
        <f t="shared" ref="E365" si="133">+E366+E367</f>
        <v>170329.97</v>
      </c>
      <c r="F365" s="74" t="s">
        <v>2117</v>
      </c>
      <c r="G365" s="223"/>
      <c r="H365" s="110"/>
      <c r="J365" s="106"/>
    </row>
    <row r="366" spans="1:10" ht="18.75">
      <c r="A366" s="214"/>
      <c r="B366" s="113" t="s">
        <v>1049</v>
      </c>
      <c r="C366" s="114" t="s">
        <v>1862</v>
      </c>
      <c r="D366" s="109">
        <f>+'Alimentazione CE Costi'!K439</f>
        <v>3859.05</v>
      </c>
      <c r="E366" s="109">
        <f>+'Alimentazione CE Costi'!N439</f>
        <v>695.26</v>
      </c>
      <c r="F366" s="74"/>
      <c r="G366" s="223"/>
      <c r="H366" s="110"/>
      <c r="J366" s="106"/>
    </row>
    <row r="367" spans="1:10" ht="18.75">
      <c r="A367" s="214"/>
      <c r="B367" s="113" t="s">
        <v>1051</v>
      </c>
      <c r="C367" s="114" t="s">
        <v>1863</v>
      </c>
      <c r="D367" s="109">
        <f>+'Alimentazione CE Costi'!K440</f>
        <v>218154.88</v>
      </c>
      <c r="E367" s="109">
        <f>+'Alimentazione CE Costi'!N440</f>
        <v>169634.71</v>
      </c>
      <c r="F367" s="74"/>
      <c r="G367" s="223"/>
      <c r="H367" s="110"/>
      <c r="J367" s="106"/>
    </row>
    <row r="368" spans="1:10" ht="25.5">
      <c r="A368" s="214"/>
      <c r="B368" s="138" t="s">
        <v>1864</v>
      </c>
      <c r="C368" s="139" t="s">
        <v>1865</v>
      </c>
      <c r="D368" s="140">
        <f t="shared" ref="D368" si="134">SUM(D369:D375)</f>
        <v>2025064.1500000001</v>
      </c>
      <c r="E368" s="140">
        <f t="shared" ref="E368" si="135">SUM(E369:E375)</f>
        <v>1948329.82</v>
      </c>
      <c r="F368" s="74" t="s">
        <v>2117</v>
      </c>
      <c r="G368" s="223"/>
      <c r="H368" s="110"/>
      <c r="J368" s="106"/>
    </row>
    <row r="369" spans="1:10" ht="25.5">
      <c r="A369" s="214"/>
      <c r="B369" s="111" t="s">
        <v>1054</v>
      </c>
      <c r="C369" s="112" t="s">
        <v>1866</v>
      </c>
      <c r="D369" s="109">
        <f>+'Alimentazione CE Costi'!K442</f>
        <v>74105.009999999995</v>
      </c>
      <c r="E369" s="109">
        <f>+'Alimentazione CE Costi'!N442</f>
        <v>64067.74</v>
      </c>
      <c r="F369" s="74"/>
      <c r="G369" s="223"/>
      <c r="H369" s="110"/>
      <c r="J369" s="106"/>
    </row>
    <row r="370" spans="1:10" ht="25.5">
      <c r="A370" s="214"/>
      <c r="B370" s="111" t="s">
        <v>1056</v>
      </c>
      <c r="C370" s="112" t="s">
        <v>1867</v>
      </c>
      <c r="D370" s="109">
        <f>+'Alimentazione CE Costi'!K444+'Alimentazione CE Costi'!K445+'Alimentazione CE Costi'!K446</f>
        <v>211514.96</v>
      </c>
      <c r="E370" s="109">
        <f>+'Alimentazione CE Costi'!N444+'Alimentazione CE Costi'!N445+'Alimentazione CE Costi'!N446</f>
        <v>221552.25</v>
      </c>
      <c r="F370" s="74"/>
      <c r="G370" s="223"/>
      <c r="H370" s="110"/>
      <c r="J370" s="106"/>
    </row>
    <row r="371" spans="1:10" ht="25.5">
      <c r="A371" s="214"/>
      <c r="B371" s="111" t="s">
        <v>1061</v>
      </c>
      <c r="C371" s="112" t="s">
        <v>1868</v>
      </c>
      <c r="D371" s="109">
        <f>+'Alimentazione CE Costi'!K447</f>
        <v>1563674.61</v>
      </c>
      <c r="E371" s="109">
        <f>+'Alimentazione CE Costi'!N447</f>
        <v>1559747.71</v>
      </c>
      <c r="F371" s="74"/>
      <c r="G371" s="223"/>
      <c r="H371" s="110"/>
      <c r="J371" s="106"/>
    </row>
    <row r="372" spans="1:10" ht="18.75">
      <c r="A372" s="214"/>
      <c r="B372" s="111" t="s">
        <v>1063</v>
      </c>
      <c r="C372" s="112" t="s">
        <v>1869</v>
      </c>
      <c r="D372" s="109">
        <f>+'Alimentazione CE Costi'!K448</f>
        <v>0</v>
      </c>
      <c r="E372" s="109">
        <f>+'Alimentazione CE Costi'!N448</f>
        <v>3541.11</v>
      </c>
      <c r="F372" s="74"/>
      <c r="G372" s="223"/>
      <c r="H372" s="110"/>
      <c r="J372" s="106"/>
    </row>
    <row r="373" spans="1:10" ht="18.75">
      <c r="A373" s="214"/>
      <c r="B373" s="111" t="s">
        <v>1065</v>
      </c>
      <c r="C373" s="112" t="s">
        <v>1870</v>
      </c>
      <c r="D373" s="109">
        <f>+'Alimentazione CE Costi'!K449</f>
        <v>3170.73</v>
      </c>
      <c r="E373" s="109">
        <f>+'Alimentazione CE Costi'!N449</f>
        <v>0</v>
      </c>
      <c r="F373" s="74"/>
      <c r="G373" s="223"/>
      <c r="H373" s="110"/>
      <c r="J373" s="106"/>
    </row>
    <row r="374" spans="1:10" ht="18.75">
      <c r="A374" s="214"/>
      <c r="B374" s="111" t="s">
        <v>1067</v>
      </c>
      <c r="C374" s="112" t="s">
        <v>1871</v>
      </c>
      <c r="D374" s="109">
        <f>+'Alimentazione CE Costi'!K451+'Alimentazione CE Costi'!K452+'Alimentazione CE Costi'!K453</f>
        <v>172598.84</v>
      </c>
      <c r="E374" s="109">
        <f>+'Alimentazione CE Costi'!N451+'Alimentazione CE Costi'!N452+'Alimentazione CE Costi'!N453</f>
        <v>99421.01</v>
      </c>
      <c r="F374" s="74"/>
      <c r="G374" s="223"/>
      <c r="H374" s="110"/>
      <c r="J374" s="106"/>
    </row>
    <row r="375" spans="1:10" ht="25.5">
      <c r="A375" s="219" t="s">
        <v>1529</v>
      </c>
      <c r="B375" s="111" t="s">
        <v>1071</v>
      </c>
      <c r="C375" s="112" t="s">
        <v>1872</v>
      </c>
      <c r="D375" s="109">
        <f>+'Alimentazione CE Costi'!K454</f>
        <v>0</v>
      </c>
      <c r="E375" s="109">
        <f>+'Alimentazione CE Costi'!N454</f>
        <v>0</v>
      </c>
      <c r="F375" s="74"/>
      <c r="G375" s="223"/>
      <c r="H375" s="110"/>
      <c r="J375" s="106"/>
    </row>
    <row r="376" spans="1:10" ht="18.75">
      <c r="A376" s="214"/>
      <c r="B376" s="138" t="s">
        <v>1072</v>
      </c>
      <c r="C376" s="139" t="s">
        <v>1873</v>
      </c>
      <c r="D376" s="140">
        <f t="shared" ref="D376" si="136">+D377+D378+D381+D384+D385</f>
        <v>1794313.51</v>
      </c>
      <c r="E376" s="140">
        <f t="shared" ref="E376" si="137">+E377+E378+E381+E384+E385</f>
        <v>1723263.31</v>
      </c>
      <c r="F376" s="74" t="s">
        <v>2117</v>
      </c>
      <c r="G376" s="223"/>
      <c r="H376" s="110"/>
      <c r="J376" s="106"/>
    </row>
    <row r="377" spans="1:10" ht="18.75">
      <c r="A377" s="214"/>
      <c r="B377" s="111" t="s">
        <v>1074</v>
      </c>
      <c r="C377" s="112" t="s">
        <v>1874</v>
      </c>
      <c r="D377" s="109">
        <f>+'Alimentazione CE Costi'!K457+'Alimentazione CE Costi'!K458</f>
        <v>49050.59</v>
      </c>
      <c r="E377" s="109">
        <f>+'Alimentazione CE Costi'!N457+'Alimentazione CE Costi'!N458</f>
        <v>45845.65</v>
      </c>
      <c r="F377" s="74"/>
      <c r="G377" s="223"/>
      <c r="H377" s="110"/>
      <c r="J377" s="106"/>
    </row>
    <row r="378" spans="1:10" ht="18.75">
      <c r="A378" s="214"/>
      <c r="B378" s="133" t="s">
        <v>1078</v>
      </c>
      <c r="C378" s="134" t="s">
        <v>1875</v>
      </c>
      <c r="D378" s="132">
        <f t="shared" ref="D378" si="138">+D379+D380</f>
        <v>1449119.94</v>
      </c>
      <c r="E378" s="132">
        <f t="shared" ref="E378" si="139">+E379+E380</f>
        <v>1378890.9300000002</v>
      </c>
      <c r="F378" s="74" t="s">
        <v>2117</v>
      </c>
      <c r="G378" s="223"/>
      <c r="H378" s="110"/>
      <c r="J378" s="106"/>
    </row>
    <row r="379" spans="1:10" ht="18.75">
      <c r="A379" s="214"/>
      <c r="B379" s="113" t="s">
        <v>1080</v>
      </c>
      <c r="C379" s="114" t="s">
        <v>1876</v>
      </c>
      <c r="D379" s="109">
        <f>+'Alimentazione CE Costi'!K460</f>
        <v>1068724.97</v>
      </c>
      <c r="E379" s="109">
        <f>+'Alimentazione CE Costi'!N460</f>
        <v>1057490.55</v>
      </c>
      <c r="F379" s="74"/>
      <c r="G379" s="223"/>
      <c r="H379" s="110"/>
      <c r="J379" s="106"/>
    </row>
    <row r="380" spans="1:10" ht="18.75">
      <c r="A380" s="214"/>
      <c r="B380" s="113" t="s">
        <v>1082</v>
      </c>
      <c r="C380" s="114" t="s">
        <v>1877</v>
      </c>
      <c r="D380" s="109">
        <f>+ROUND(SUM('Alimentazione CE Costi'!K462:K465),2)</f>
        <v>380394.97</v>
      </c>
      <c r="E380" s="109">
        <f>+ROUND(SUM('Alimentazione CE Costi'!N462:N465),2)</f>
        <v>321400.38</v>
      </c>
      <c r="F380" s="74"/>
      <c r="G380" s="223"/>
      <c r="H380" s="110"/>
      <c r="J380" s="106"/>
    </row>
    <row r="381" spans="1:10" ht="18.75">
      <c r="A381" s="214"/>
      <c r="B381" s="133" t="s">
        <v>1088</v>
      </c>
      <c r="C381" s="134" t="s">
        <v>1878</v>
      </c>
      <c r="D381" s="132">
        <f t="shared" ref="D381" si="140">+D382+D383</f>
        <v>44318.54</v>
      </c>
      <c r="E381" s="132">
        <f t="shared" ref="E381" si="141">+E382+E383</f>
        <v>46702.29</v>
      </c>
      <c r="F381" s="74" t="s">
        <v>2117</v>
      </c>
      <c r="G381" s="223"/>
      <c r="H381" s="110"/>
      <c r="J381" s="106"/>
    </row>
    <row r="382" spans="1:10" ht="18.75">
      <c r="A382" s="214"/>
      <c r="B382" s="113" t="s">
        <v>1090</v>
      </c>
      <c r="C382" s="114" t="s">
        <v>1879</v>
      </c>
      <c r="D382" s="109">
        <f>+'Alimentazione CE Costi'!K468+'Alimentazione CE Costi'!K469</f>
        <v>44318.54</v>
      </c>
      <c r="E382" s="109">
        <f>+'Alimentazione CE Costi'!N468+'Alimentazione CE Costi'!N469</f>
        <v>46702.29</v>
      </c>
      <c r="F382" s="74"/>
      <c r="G382" s="223"/>
      <c r="H382" s="110"/>
      <c r="J382" s="106"/>
    </row>
    <row r="383" spans="1:10" ht="18.75">
      <c r="A383" s="214"/>
      <c r="B383" s="113" t="s">
        <v>1094</v>
      </c>
      <c r="C383" s="114" t="s">
        <v>1880</v>
      </c>
      <c r="D383" s="109">
        <f>+'Alimentazione CE Costi'!K471+'Alimentazione CE Costi'!K472</f>
        <v>0</v>
      </c>
      <c r="E383" s="109">
        <f>+'Alimentazione CE Costi'!N471+'Alimentazione CE Costi'!N472</f>
        <v>0</v>
      </c>
      <c r="F383" s="74"/>
      <c r="G383" s="223"/>
      <c r="H383" s="110"/>
      <c r="J383" s="106"/>
    </row>
    <row r="384" spans="1:10" ht="18.75">
      <c r="A384" s="216"/>
      <c r="B384" s="111" t="s">
        <v>1096</v>
      </c>
      <c r="C384" s="112" t="s">
        <v>1881</v>
      </c>
      <c r="D384" s="109">
        <f>+'Alimentazione CE Costi'!K473</f>
        <v>251824.44</v>
      </c>
      <c r="E384" s="109">
        <f>+'Alimentazione CE Costi'!N473</f>
        <v>251824.44</v>
      </c>
      <c r="F384" s="355"/>
      <c r="G384" s="223"/>
      <c r="H384" s="110"/>
      <c r="J384" s="106"/>
    </row>
    <row r="385" spans="1:10" ht="25.5">
      <c r="A385" s="220" t="s">
        <v>1529</v>
      </c>
      <c r="B385" s="111" t="s">
        <v>1098</v>
      </c>
      <c r="C385" s="112" t="s">
        <v>1882</v>
      </c>
      <c r="D385" s="109">
        <f>+'Alimentazione CE Costi'!K474</f>
        <v>0</v>
      </c>
      <c r="E385" s="109">
        <f>+'Alimentazione CE Costi'!N474</f>
        <v>0</v>
      </c>
      <c r="F385" s="355"/>
      <c r="G385" s="223"/>
      <c r="H385" s="110"/>
      <c r="J385" s="106"/>
    </row>
    <row r="386" spans="1:10" ht="18.75">
      <c r="A386" s="214"/>
      <c r="B386" s="161" t="s">
        <v>1883</v>
      </c>
      <c r="C386" s="162" t="s">
        <v>1884</v>
      </c>
      <c r="D386" s="163">
        <f t="shared" ref="D386" si="142">+D387+D401+D410+D419</f>
        <v>49530587.180000007</v>
      </c>
      <c r="E386" s="163">
        <f t="shared" ref="E386" si="143">+E387+E401+E410+E419</f>
        <v>46477866.499999993</v>
      </c>
      <c r="F386" s="74" t="s">
        <v>2117</v>
      </c>
      <c r="G386" s="223"/>
      <c r="H386" s="110"/>
      <c r="J386" s="106"/>
    </row>
    <row r="387" spans="1:10" ht="18.75">
      <c r="A387" s="214"/>
      <c r="B387" s="138" t="s">
        <v>1100</v>
      </c>
      <c r="C387" s="139" t="s">
        <v>1885</v>
      </c>
      <c r="D387" s="140">
        <f t="shared" ref="D387" si="144">+D388+D397</f>
        <v>40602917.93</v>
      </c>
      <c r="E387" s="140">
        <f t="shared" ref="E387" si="145">+E388+E397</f>
        <v>38047365.549999997</v>
      </c>
      <c r="F387" s="74" t="s">
        <v>2117</v>
      </c>
      <c r="G387" s="223"/>
      <c r="H387" s="110"/>
      <c r="J387" s="106"/>
    </row>
    <row r="388" spans="1:10" ht="18.75">
      <c r="A388" s="214"/>
      <c r="B388" s="133" t="s">
        <v>1102</v>
      </c>
      <c r="C388" s="134" t="s">
        <v>1886</v>
      </c>
      <c r="D388" s="132">
        <f t="shared" ref="D388" si="146">+D389+D393</f>
        <v>19317173</v>
      </c>
      <c r="E388" s="132">
        <f t="shared" ref="E388" si="147">+E389+E393</f>
        <v>18172480.669999998</v>
      </c>
      <c r="F388" s="74" t="s">
        <v>2117</v>
      </c>
      <c r="G388" s="223"/>
      <c r="H388" s="110"/>
      <c r="J388" s="106"/>
    </row>
    <row r="389" spans="1:10" ht="18.75">
      <c r="A389" s="214"/>
      <c r="B389" s="144" t="s">
        <v>1104</v>
      </c>
      <c r="C389" s="145" t="s">
        <v>1887</v>
      </c>
      <c r="D389" s="146">
        <f t="shared" ref="D389" si="148">SUM(D390:D392)</f>
        <v>16913732.699999999</v>
      </c>
      <c r="E389" s="146">
        <f t="shared" ref="E389" si="149">SUM(E390:E392)</f>
        <v>15995285.889999999</v>
      </c>
      <c r="F389" s="74" t="s">
        <v>2117</v>
      </c>
      <c r="G389" s="223"/>
      <c r="H389" s="110"/>
      <c r="J389" s="106"/>
    </row>
    <row r="390" spans="1:10" ht="25.5">
      <c r="A390" s="214"/>
      <c r="B390" s="113" t="s">
        <v>1106</v>
      </c>
      <c r="C390" s="114" t="s">
        <v>1888</v>
      </c>
      <c r="D390" s="109">
        <f>+ROUND(SUM('Alimentazione CE Costi'!K479:K490),2)</f>
        <v>15229459.060000001</v>
      </c>
      <c r="E390" s="109">
        <f>+ROUND(SUM('Alimentazione CE Costi'!N479:N490),2)</f>
        <v>14492059.029999999</v>
      </c>
      <c r="F390" s="74"/>
      <c r="G390" s="223"/>
      <c r="H390" s="110"/>
      <c r="J390" s="106"/>
    </row>
    <row r="391" spans="1:10" ht="25.5">
      <c r="A391" s="214"/>
      <c r="B391" s="113" t="s">
        <v>1124</v>
      </c>
      <c r="C391" s="114" t="s">
        <v>1889</v>
      </c>
      <c r="D391" s="109">
        <f>+ROUND(SUM('Alimentazione CE Costi'!K492:K503),2)</f>
        <v>1684273.64</v>
      </c>
      <c r="E391" s="109">
        <f>+ROUND(SUM('Alimentazione CE Costi'!N492:N503),2)</f>
        <v>1503226.86</v>
      </c>
      <c r="F391" s="74"/>
      <c r="G391" s="223"/>
      <c r="H391" s="110"/>
      <c r="J391" s="106"/>
    </row>
    <row r="392" spans="1:10" ht="18.75">
      <c r="A392" s="214"/>
      <c r="B392" s="113" t="s">
        <v>1126</v>
      </c>
      <c r="C392" s="114" t="s">
        <v>1890</v>
      </c>
      <c r="D392" s="109">
        <f>+'Alimentazione CE Costi'!K504</f>
        <v>0</v>
      </c>
      <c r="E392" s="109">
        <f>+'Alimentazione CE Costi'!N504</f>
        <v>0</v>
      </c>
      <c r="F392" s="74"/>
      <c r="G392" s="223"/>
      <c r="H392" s="110"/>
      <c r="J392" s="106"/>
    </row>
    <row r="393" spans="1:10" ht="18.75">
      <c r="A393" s="214"/>
      <c r="B393" s="144" t="s">
        <v>1128</v>
      </c>
      <c r="C393" s="145" t="s">
        <v>1891</v>
      </c>
      <c r="D393" s="146">
        <f t="shared" ref="D393" si="150">SUM(D394:D396)</f>
        <v>2403440.2999999998</v>
      </c>
      <c r="E393" s="146">
        <f t="shared" ref="E393" si="151">SUM(E394:E396)</f>
        <v>2177194.7800000003</v>
      </c>
      <c r="F393" s="74" t="s">
        <v>2117</v>
      </c>
      <c r="G393" s="223"/>
      <c r="H393" s="110"/>
      <c r="J393" s="106"/>
    </row>
    <row r="394" spans="1:10" ht="25.5">
      <c r="A394" s="214"/>
      <c r="B394" s="113" t="s">
        <v>1130</v>
      </c>
      <c r="C394" s="114" t="s">
        <v>1892</v>
      </c>
      <c r="D394" s="109">
        <f>+ROUND(SUM('Alimentazione CE Costi'!K507:K515),2)</f>
        <v>2308617.48</v>
      </c>
      <c r="E394" s="109">
        <f>+ROUND(SUM('Alimentazione CE Costi'!N507:N515),2)</f>
        <v>2050072.33</v>
      </c>
      <c r="F394" s="74"/>
      <c r="G394" s="223"/>
      <c r="H394" s="110"/>
      <c r="J394" s="106"/>
    </row>
    <row r="395" spans="1:10" ht="25.5">
      <c r="A395" s="214"/>
      <c r="B395" s="113" t="s">
        <v>1137</v>
      </c>
      <c r="C395" s="114" t="s">
        <v>1893</v>
      </c>
      <c r="D395" s="109">
        <f>+ROUND(SUM('Alimentazione CE Costi'!K517:K525),2)</f>
        <v>94822.82</v>
      </c>
      <c r="E395" s="109">
        <f>+ROUND(SUM('Alimentazione CE Costi'!N517:N525),2)</f>
        <v>127122.45</v>
      </c>
      <c r="F395" s="74"/>
      <c r="G395" s="223"/>
      <c r="H395" s="110"/>
      <c r="J395" s="106"/>
    </row>
    <row r="396" spans="1:10" ht="18.75">
      <c r="A396" s="214"/>
      <c r="B396" s="113" t="s">
        <v>1138</v>
      </c>
      <c r="C396" s="114" t="s">
        <v>1894</v>
      </c>
      <c r="D396" s="109">
        <f>+'Alimentazione CE Costi'!K526</f>
        <v>0</v>
      </c>
      <c r="E396" s="109">
        <f>+'Alimentazione CE Costi'!N526</f>
        <v>0</v>
      </c>
      <c r="F396" s="74"/>
      <c r="G396" s="223"/>
      <c r="H396" s="110"/>
      <c r="J396" s="106"/>
    </row>
    <row r="397" spans="1:10" ht="18.75">
      <c r="A397" s="214"/>
      <c r="B397" s="159" t="s">
        <v>1140</v>
      </c>
      <c r="C397" s="160" t="s">
        <v>1895</v>
      </c>
      <c r="D397" s="146">
        <f t="shared" ref="D397" si="152">SUM(D398:D400)</f>
        <v>21285744.93</v>
      </c>
      <c r="E397" s="146">
        <f t="shared" ref="E397" si="153">SUM(E398:E400)</f>
        <v>19874884.879999999</v>
      </c>
      <c r="F397" s="74" t="s">
        <v>2117</v>
      </c>
      <c r="G397" s="223"/>
      <c r="H397" s="110"/>
      <c r="J397" s="106"/>
    </row>
    <row r="398" spans="1:10" ht="25.5">
      <c r="A398" s="214"/>
      <c r="B398" s="113" t="s">
        <v>1142</v>
      </c>
      <c r="C398" s="114" t="s">
        <v>1896</v>
      </c>
      <c r="D398" s="109">
        <f>+ROUND(SUM('Alimentazione CE Costi'!K529:K566),2)</f>
        <v>18350951.690000001</v>
      </c>
      <c r="E398" s="109">
        <f>+ROUND(SUM('Alimentazione CE Costi'!N529:N566),2)</f>
        <v>17258583.77</v>
      </c>
      <c r="F398" s="74"/>
      <c r="G398" s="223"/>
      <c r="H398" s="110"/>
      <c r="J398" s="106"/>
    </row>
    <row r="399" spans="1:10" ht="25.5">
      <c r="A399" s="214"/>
      <c r="B399" s="113" t="s">
        <v>1148</v>
      </c>
      <c r="C399" s="114" t="s">
        <v>1897</v>
      </c>
      <c r="D399" s="109">
        <f>+ROUND(SUM('Alimentazione CE Costi'!K568:K579)+SUM('Alimentazione CE Costi'!K580:K605),2)</f>
        <v>2934793.24</v>
      </c>
      <c r="E399" s="109">
        <f>+ROUND(SUM('Alimentazione CE Costi'!N568:N579)+SUM('Alimentazione CE Costi'!N580:N605),2)</f>
        <v>2616301.11</v>
      </c>
      <c r="F399" s="74"/>
      <c r="G399" s="223"/>
      <c r="H399" s="110"/>
      <c r="J399" s="106"/>
    </row>
    <row r="400" spans="1:10" ht="25.5">
      <c r="A400" s="214"/>
      <c r="B400" s="113" t="s">
        <v>1150</v>
      </c>
      <c r="C400" s="114" t="s">
        <v>1898</v>
      </c>
      <c r="D400" s="109">
        <f>+'Alimentazione CE Costi'!K606</f>
        <v>0</v>
      </c>
      <c r="E400" s="109">
        <f>+'Alimentazione CE Costi'!N606</f>
        <v>0</v>
      </c>
      <c r="F400" s="74"/>
      <c r="G400" s="223"/>
      <c r="H400" s="110"/>
      <c r="J400" s="106"/>
    </row>
    <row r="401" spans="1:10" ht="18.75">
      <c r="A401" s="214"/>
      <c r="B401" s="138" t="s">
        <v>1152</v>
      </c>
      <c r="C401" s="139" t="s">
        <v>1899</v>
      </c>
      <c r="D401" s="140">
        <f t="shared" ref="D401" si="154">+D402+D406</f>
        <v>198257.6</v>
      </c>
      <c r="E401" s="140">
        <f t="shared" ref="E401" si="155">+E402+E406</f>
        <v>234319.50999999998</v>
      </c>
      <c r="F401" s="74" t="s">
        <v>2117</v>
      </c>
      <c r="G401" s="223"/>
      <c r="H401" s="110"/>
      <c r="J401" s="106"/>
    </row>
    <row r="402" spans="1:10" ht="25.5">
      <c r="A402" s="214"/>
      <c r="B402" s="133" t="s">
        <v>1154</v>
      </c>
      <c r="C402" s="134" t="s">
        <v>1900</v>
      </c>
      <c r="D402" s="132">
        <f t="shared" ref="D402" si="156">SUM(D403:D405)</f>
        <v>198257.6</v>
      </c>
      <c r="E402" s="132">
        <f t="shared" ref="E402" si="157">SUM(E403:E405)</f>
        <v>234319.50999999998</v>
      </c>
      <c r="F402" s="74" t="s">
        <v>2117</v>
      </c>
      <c r="G402" s="223"/>
      <c r="H402" s="110"/>
      <c r="J402" s="106"/>
    </row>
    <row r="403" spans="1:10" ht="25.5">
      <c r="A403" s="214"/>
      <c r="B403" s="113" t="s">
        <v>1156</v>
      </c>
      <c r="C403" s="114" t="s">
        <v>1901</v>
      </c>
      <c r="D403" s="109">
        <f>+ROUND(SUM('Alimentazione CE Costi'!K610:K618),2)</f>
        <v>176348.19</v>
      </c>
      <c r="E403" s="109">
        <f>+ROUND(SUM('Alimentazione CE Costi'!N610:N618),2)</f>
        <v>228420.11</v>
      </c>
      <c r="F403" s="74"/>
      <c r="G403" s="223"/>
      <c r="H403" s="110"/>
      <c r="J403" s="106"/>
    </row>
    <row r="404" spans="1:10" ht="25.5">
      <c r="A404" s="214"/>
      <c r="B404" s="113" t="s">
        <v>1159</v>
      </c>
      <c r="C404" s="114" t="s">
        <v>1902</v>
      </c>
      <c r="D404" s="109">
        <f>+ROUND(SUM('Alimentazione CE Costi'!K620:K628),2)</f>
        <v>21909.41</v>
      </c>
      <c r="E404" s="109">
        <f>+ROUND(SUM('Alimentazione CE Costi'!N620:N628),2)</f>
        <v>5899.4</v>
      </c>
      <c r="F404" s="74"/>
      <c r="G404" s="223"/>
      <c r="H404" s="110"/>
      <c r="J404" s="106"/>
    </row>
    <row r="405" spans="1:10" ht="25.5">
      <c r="A405" s="214"/>
      <c r="B405" s="113" t="s">
        <v>1161</v>
      </c>
      <c r="C405" s="114" t="s">
        <v>1903</v>
      </c>
      <c r="D405" s="109">
        <f>+'Alimentazione CE Costi'!K629</f>
        <v>0</v>
      </c>
      <c r="E405" s="109">
        <f>+'Alimentazione CE Costi'!N629</f>
        <v>0</v>
      </c>
      <c r="F405" s="74"/>
      <c r="G405" s="223"/>
      <c r="H405" s="110"/>
      <c r="J405" s="106"/>
    </row>
    <row r="406" spans="1:10" ht="25.5">
      <c r="A406" s="214"/>
      <c r="B406" s="133" t="s">
        <v>1163</v>
      </c>
      <c r="C406" s="134" t="s">
        <v>1904</v>
      </c>
      <c r="D406" s="132">
        <f t="shared" ref="D406" si="158">SUM(D407:D409)</f>
        <v>0</v>
      </c>
      <c r="E406" s="132">
        <f t="shared" ref="E406" si="159">SUM(E407:E409)</f>
        <v>0</v>
      </c>
      <c r="F406" s="74" t="s">
        <v>2117</v>
      </c>
      <c r="G406" s="223"/>
      <c r="H406" s="110"/>
      <c r="J406" s="106"/>
    </row>
    <row r="407" spans="1:10" ht="25.5">
      <c r="A407" s="214"/>
      <c r="B407" s="113" t="s">
        <v>1165</v>
      </c>
      <c r="C407" s="114" t="s">
        <v>1905</v>
      </c>
      <c r="D407" s="109">
        <f>+ROUND(SUM('Alimentazione CE Costi'!K632:K643),2)</f>
        <v>0</v>
      </c>
      <c r="E407" s="109">
        <f>+ROUND(SUM('Alimentazione CE Costi'!N632:N643),2)</f>
        <v>0</v>
      </c>
      <c r="F407" s="74"/>
      <c r="G407" s="223"/>
      <c r="H407" s="110"/>
      <c r="J407" s="106"/>
    </row>
    <row r="408" spans="1:10" ht="25.5">
      <c r="A408" s="214"/>
      <c r="B408" s="113" t="s">
        <v>1167</v>
      </c>
      <c r="C408" s="114" t="s">
        <v>1906</v>
      </c>
      <c r="D408" s="109">
        <f>+ROUND(SUM('Alimentazione CE Costi'!K645:K656),2)</f>
        <v>0</v>
      </c>
      <c r="E408" s="109">
        <f>+ROUND(SUM('Alimentazione CE Costi'!N645:N656),2)</f>
        <v>0</v>
      </c>
      <c r="F408" s="74"/>
      <c r="G408" s="223"/>
      <c r="H408" s="110"/>
      <c r="J408" s="106"/>
    </row>
    <row r="409" spans="1:10" ht="25.5">
      <c r="A409" s="214"/>
      <c r="B409" s="113" t="s">
        <v>1169</v>
      </c>
      <c r="C409" s="114" t="s">
        <v>1907</v>
      </c>
      <c r="D409" s="109">
        <f>+'Alimentazione CE Costi'!K657</f>
        <v>0</v>
      </c>
      <c r="E409" s="109">
        <f>+'Alimentazione CE Costi'!N657</f>
        <v>0</v>
      </c>
      <c r="F409" s="74"/>
      <c r="G409" s="223"/>
      <c r="H409" s="110"/>
      <c r="J409" s="106"/>
    </row>
    <row r="410" spans="1:10" ht="18.75">
      <c r="A410" s="214"/>
      <c r="B410" s="138" t="s">
        <v>1171</v>
      </c>
      <c r="C410" s="139" t="s">
        <v>1908</v>
      </c>
      <c r="D410" s="140">
        <f t="shared" ref="D410" si="160">+D411+D415</f>
        <v>5090171.8099999996</v>
      </c>
      <c r="E410" s="140">
        <f t="shared" ref="E410" si="161">+E411+E415</f>
        <v>4681262.5000000009</v>
      </c>
      <c r="F410" s="74" t="s">
        <v>2117</v>
      </c>
      <c r="G410" s="223"/>
      <c r="H410" s="110"/>
      <c r="J410" s="106"/>
    </row>
    <row r="411" spans="1:10" ht="18.75">
      <c r="A411" s="214"/>
      <c r="B411" s="133" t="s">
        <v>1173</v>
      </c>
      <c r="C411" s="134" t="s">
        <v>1909</v>
      </c>
      <c r="D411" s="132">
        <f t="shared" ref="D411" si="162">SUM(D412:D414)</f>
        <v>349633.68</v>
      </c>
      <c r="E411" s="132">
        <f t="shared" ref="E411" si="163">SUM(E412:E414)</f>
        <v>341624.69</v>
      </c>
      <c r="F411" s="74" t="s">
        <v>2117</v>
      </c>
      <c r="G411" s="223"/>
      <c r="H411" s="110"/>
      <c r="J411" s="106"/>
    </row>
    <row r="412" spans="1:10" ht="25.5">
      <c r="A412" s="214"/>
      <c r="B412" s="113" t="s">
        <v>1175</v>
      </c>
      <c r="C412" s="114" t="s">
        <v>1910</v>
      </c>
      <c r="D412" s="109">
        <f>+ROUND(SUM('Alimentazione CE Costi'!K661:K679),2)</f>
        <v>246771.8</v>
      </c>
      <c r="E412" s="109">
        <f>+ROUND(SUM('Alimentazione CE Costi'!N661:N679),2)</f>
        <v>271443.73</v>
      </c>
      <c r="F412" s="74"/>
      <c r="G412" s="223"/>
      <c r="H412" s="110"/>
      <c r="J412" s="106"/>
    </row>
    <row r="413" spans="1:10" ht="25.5">
      <c r="A413" s="214"/>
      <c r="B413" s="113" t="s">
        <v>1178</v>
      </c>
      <c r="C413" s="114" t="s">
        <v>1911</v>
      </c>
      <c r="D413" s="109">
        <f>+ROUND(SUM('Alimentazione CE Costi'!L679:L699),2)</f>
        <v>102861.88</v>
      </c>
      <c r="E413" s="109">
        <f>+ROUND(SUM('Alimentazione CE Costi'!N679:N699),2)</f>
        <v>70180.960000000006</v>
      </c>
      <c r="F413" s="74"/>
      <c r="G413" s="223"/>
      <c r="H413" s="110"/>
      <c r="J413" s="106"/>
    </row>
    <row r="414" spans="1:10" ht="18.75">
      <c r="A414" s="214"/>
      <c r="B414" s="113" t="s">
        <v>1180</v>
      </c>
      <c r="C414" s="114" t="s">
        <v>1912</v>
      </c>
      <c r="D414" s="109">
        <f>+'Alimentazione CE Costi'!K700++'Alimentazione CE Costi'!K701</f>
        <v>0</v>
      </c>
      <c r="E414" s="109">
        <f>+'Alimentazione CE Costi'!N700++'Alimentazione CE Costi'!N701</f>
        <v>0</v>
      </c>
      <c r="F414" s="74"/>
      <c r="G414" s="223"/>
      <c r="H414" s="110"/>
      <c r="J414" s="106"/>
    </row>
    <row r="415" spans="1:10" ht="18.75">
      <c r="A415" s="214"/>
      <c r="B415" s="133" t="s">
        <v>1182</v>
      </c>
      <c r="C415" s="134" t="s">
        <v>1913</v>
      </c>
      <c r="D415" s="132">
        <f t="shared" ref="D415" si="164">SUM(D416:D418)</f>
        <v>4740538.13</v>
      </c>
      <c r="E415" s="132">
        <f t="shared" ref="E415" si="165">SUM(E416:E418)</f>
        <v>4339637.8100000005</v>
      </c>
      <c r="F415" s="74" t="s">
        <v>2117</v>
      </c>
      <c r="G415" s="223"/>
      <c r="H415" s="110"/>
      <c r="J415" s="106"/>
    </row>
    <row r="416" spans="1:10" ht="25.5">
      <c r="A416" s="214"/>
      <c r="B416" s="113" t="s">
        <v>1184</v>
      </c>
      <c r="C416" s="114" t="s">
        <v>1914</v>
      </c>
      <c r="D416" s="109">
        <f>+ROUND(SUM('Alimentazione CE Costi'!K704:K728),2)</f>
        <v>4410482.16</v>
      </c>
      <c r="E416" s="109">
        <f>+ROUND(SUM('Alimentazione CE Costi'!N704:N728),2)</f>
        <v>4248512.08</v>
      </c>
      <c r="F416" s="74"/>
      <c r="G416" s="223"/>
      <c r="H416" s="110"/>
      <c r="J416" s="106"/>
    </row>
    <row r="417" spans="1:10" ht="25.5">
      <c r="A417" s="214"/>
      <c r="B417" s="113" t="s">
        <v>1186</v>
      </c>
      <c r="C417" s="114" t="s">
        <v>1915</v>
      </c>
      <c r="D417" s="109">
        <f>+ROUND(SUM('Alimentazione CE Costi'!K730:K754),2)</f>
        <v>330055.96999999997</v>
      </c>
      <c r="E417" s="109">
        <f>+ROUND(SUM('Alimentazione CE Costi'!N730:N754),2)</f>
        <v>91125.73</v>
      </c>
      <c r="F417" s="74"/>
      <c r="G417" s="223"/>
      <c r="H417" s="110"/>
      <c r="J417" s="106"/>
    </row>
    <row r="418" spans="1:10" ht="18.75">
      <c r="A418" s="214"/>
      <c r="B418" s="113" t="s">
        <v>1188</v>
      </c>
      <c r="C418" s="114" t="s">
        <v>1916</v>
      </c>
      <c r="D418" s="109">
        <f>+'Alimentazione CE Costi'!K755++'Alimentazione CE Costi'!K756</f>
        <v>0</v>
      </c>
      <c r="E418" s="109">
        <f>+'Alimentazione CE Costi'!N755++'Alimentazione CE Costi'!N756</f>
        <v>0</v>
      </c>
      <c r="F418" s="74"/>
      <c r="G418" s="223"/>
      <c r="H418" s="110"/>
      <c r="J418" s="106"/>
    </row>
    <row r="419" spans="1:10" ht="18.75">
      <c r="A419" s="214"/>
      <c r="B419" s="138" t="s">
        <v>1190</v>
      </c>
      <c r="C419" s="139" t="s">
        <v>1917</v>
      </c>
      <c r="D419" s="140">
        <f t="shared" ref="D419" si="166">+D420+D424</f>
        <v>3639239.8400000003</v>
      </c>
      <c r="E419" s="140">
        <f t="shared" ref="E419" si="167">+E420+E424</f>
        <v>3514918.94</v>
      </c>
      <c r="F419" s="74" t="s">
        <v>2117</v>
      </c>
      <c r="G419" s="223"/>
      <c r="H419" s="110"/>
      <c r="J419" s="106"/>
    </row>
    <row r="420" spans="1:10" ht="25.5">
      <c r="A420" s="214"/>
      <c r="B420" s="133" t="s">
        <v>1192</v>
      </c>
      <c r="C420" s="134" t="s">
        <v>1918</v>
      </c>
      <c r="D420" s="132">
        <f t="shared" ref="D420" si="168">SUM(D421:D423)</f>
        <v>832605.98</v>
      </c>
      <c r="E420" s="132">
        <f t="shared" ref="E420" si="169">SUM(E421:E423)</f>
        <v>770357.29</v>
      </c>
      <c r="F420" s="74" t="s">
        <v>2117</v>
      </c>
      <c r="G420" s="223"/>
      <c r="H420" s="110"/>
      <c r="J420" s="106"/>
    </row>
    <row r="421" spans="1:10" ht="25.5">
      <c r="A421" s="214"/>
      <c r="B421" s="113" t="s">
        <v>1194</v>
      </c>
      <c r="C421" s="114" t="s">
        <v>1919</v>
      </c>
      <c r="D421" s="109">
        <f>+ROUND(SUM('Alimentazione CE Costi'!K760:K768),2)</f>
        <v>832605.98</v>
      </c>
      <c r="E421" s="109">
        <f>+ROUND(SUM('Alimentazione CE Costi'!N760:N768),2)</f>
        <v>770357.29</v>
      </c>
      <c r="F421" s="74"/>
      <c r="G421" s="223"/>
      <c r="H421" s="110"/>
      <c r="J421" s="106"/>
    </row>
    <row r="422" spans="1:10" ht="25.5">
      <c r="A422" s="214"/>
      <c r="B422" s="113" t="s">
        <v>1197</v>
      </c>
      <c r="C422" s="114" t="s">
        <v>1920</v>
      </c>
      <c r="D422" s="109">
        <f>+ROUND(SUM('Alimentazione CE Costi'!K770:K778),2)</f>
        <v>0</v>
      </c>
      <c r="E422" s="109">
        <f>+ROUND(SUM('Alimentazione CE Costi'!N770:N778),2)</f>
        <v>0</v>
      </c>
      <c r="F422" s="74"/>
      <c r="G422" s="223"/>
      <c r="H422" s="110"/>
      <c r="J422" s="106"/>
    </row>
    <row r="423" spans="1:10" ht="25.5">
      <c r="A423" s="214"/>
      <c r="B423" s="113" t="s">
        <v>1199</v>
      </c>
      <c r="C423" s="114" t="s">
        <v>1921</v>
      </c>
      <c r="D423" s="109">
        <f>+'Alimentazione CE Costi'!K779</f>
        <v>0</v>
      </c>
      <c r="E423" s="109">
        <f>+'Alimentazione CE Costi'!N779</f>
        <v>0</v>
      </c>
      <c r="F423" s="74"/>
      <c r="G423" s="223"/>
      <c r="H423" s="110"/>
      <c r="J423" s="106"/>
    </row>
    <row r="424" spans="1:10" ht="25.5">
      <c r="A424" s="214"/>
      <c r="B424" s="133" t="s">
        <v>1201</v>
      </c>
      <c r="C424" s="134" t="s">
        <v>1922</v>
      </c>
      <c r="D424" s="132">
        <f t="shared" ref="D424" si="170">SUM(D425:D427)</f>
        <v>2806633.8600000003</v>
      </c>
      <c r="E424" s="132">
        <f t="shared" ref="E424" si="171">SUM(E425:E427)</f>
        <v>2744561.65</v>
      </c>
      <c r="F424" s="74" t="s">
        <v>2117</v>
      </c>
      <c r="G424" s="223"/>
      <c r="H424" s="110"/>
      <c r="J424" s="106"/>
    </row>
    <row r="425" spans="1:10" ht="25.5">
      <c r="A425" s="214"/>
      <c r="B425" s="113" t="s">
        <v>1203</v>
      </c>
      <c r="C425" s="114" t="s">
        <v>1923</v>
      </c>
      <c r="D425" s="109">
        <f>+ROUND(SUM('Alimentazione CE Costi'!K782:K793),2)</f>
        <v>2744223.97</v>
      </c>
      <c r="E425" s="109">
        <f>+ROUND(SUM('Alimentazione CE Costi'!N782:N793),2)</f>
        <v>2268557.46</v>
      </c>
      <c r="F425" s="74"/>
      <c r="G425" s="223"/>
      <c r="H425" s="110"/>
      <c r="J425" s="106"/>
    </row>
    <row r="426" spans="1:10" ht="25.5">
      <c r="A426" s="214"/>
      <c r="B426" s="113" t="s">
        <v>1205</v>
      </c>
      <c r="C426" s="114" t="s">
        <v>1924</v>
      </c>
      <c r="D426" s="109">
        <f>+ROUND(SUM('Alimentazione CE Costi'!K795:K806),2)</f>
        <v>62409.89</v>
      </c>
      <c r="E426" s="109">
        <f>+ROUND(SUM('Alimentazione CE Costi'!N795:N806),2)</f>
        <v>476004.19</v>
      </c>
      <c r="F426" s="74"/>
      <c r="G426" s="223"/>
      <c r="H426" s="110"/>
      <c r="J426" s="106"/>
    </row>
    <row r="427" spans="1:10" ht="25.5">
      <c r="A427" s="214"/>
      <c r="B427" s="113" t="s">
        <v>1207</v>
      </c>
      <c r="C427" s="114" t="s">
        <v>1925</v>
      </c>
      <c r="D427" s="109">
        <f>+'Alimentazione CE Costi'!K807</f>
        <v>0</v>
      </c>
      <c r="E427" s="109">
        <f>+'Alimentazione CE Costi'!N807</f>
        <v>0</v>
      </c>
      <c r="F427" s="74"/>
      <c r="G427" s="223"/>
      <c r="H427" s="110"/>
      <c r="J427" s="106"/>
    </row>
    <row r="428" spans="1:10" ht="18.75">
      <c r="A428" s="214"/>
      <c r="B428" s="138" t="s">
        <v>1208</v>
      </c>
      <c r="C428" s="139" t="s">
        <v>1926</v>
      </c>
      <c r="D428" s="140">
        <f t="shared" ref="D428" si="172">+D429+D430+D431</f>
        <v>960352.67</v>
      </c>
      <c r="E428" s="140">
        <f t="shared" ref="E428" si="173">+E429+E430+E431</f>
        <v>931926.89999999991</v>
      </c>
      <c r="F428" s="74" t="s">
        <v>2117</v>
      </c>
      <c r="G428" s="223"/>
      <c r="H428" s="110"/>
      <c r="J428" s="106"/>
    </row>
    <row r="429" spans="1:10" ht="18.75">
      <c r="A429" s="214"/>
      <c r="B429" s="111" t="s">
        <v>1210</v>
      </c>
      <c r="C429" s="112" t="s">
        <v>1927</v>
      </c>
      <c r="D429" s="119">
        <f>+ROUND(SUM('Alimentazione CE Costi'!K810:K816),2)</f>
        <v>167252.12</v>
      </c>
      <c r="E429" s="119">
        <f>+ROUND(SUM('Alimentazione CE Costi'!N810:N816),2)</f>
        <v>152803.32999999999</v>
      </c>
      <c r="F429" s="74"/>
      <c r="G429" s="223"/>
      <c r="H429" s="110"/>
      <c r="J429" s="106"/>
    </row>
    <row r="430" spans="1:10" ht="18.75">
      <c r="A430" s="214"/>
      <c r="B430" s="111" t="s">
        <v>1219</v>
      </c>
      <c r="C430" s="112" t="s">
        <v>1928</v>
      </c>
      <c r="D430" s="119">
        <f>+'Alimentazione CE Costi'!K817</f>
        <v>0</v>
      </c>
      <c r="E430" s="119">
        <f>+'Alimentazione CE Costi'!N817</f>
        <v>0</v>
      </c>
      <c r="F430" s="74"/>
      <c r="G430" s="223"/>
      <c r="H430" s="110"/>
      <c r="J430" s="106"/>
    </row>
    <row r="431" spans="1:10" ht="18.75">
      <c r="A431" s="214"/>
      <c r="B431" s="133" t="s">
        <v>1221</v>
      </c>
      <c r="C431" s="134" t="s">
        <v>1929</v>
      </c>
      <c r="D431" s="132">
        <f t="shared" ref="D431" si="174">+D432+D433+D434+D435</f>
        <v>793100.55</v>
      </c>
      <c r="E431" s="132">
        <f t="shared" ref="E431" si="175">+E432+E433+E434+E435</f>
        <v>779123.57</v>
      </c>
      <c r="F431" s="74" t="s">
        <v>2117</v>
      </c>
      <c r="G431" s="223"/>
      <c r="H431" s="110"/>
      <c r="J431" s="106"/>
    </row>
    <row r="432" spans="1:10" ht="25.5">
      <c r="A432" s="214"/>
      <c r="B432" s="113" t="s">
        <v>1223</v>
      </c>
      <c r="C432" s="114" t="s">
        <v>1930</v>
      </c>
      <c r="D432" s="109">
        <f>+ROUND(SUM('Alimentazione CE Costi'!K821:K831),2)</f>
        <v>792483.79</v>
      </c>
      <c r="E432" s="109">
        <f>+ROUND(SUM('Alimentazione CE Costi'!N821:N831),2)</f>
        <v>779123.57</v>
      </c>
      <c r="F432" s="74"/>
      <c r="G432" s="223"/>
      <c r="H432" s="110"/>
      <c r="J432" s="106"/>
    </row>
    <row r="433" spans="1:10" ht="18.75">
      <c r="A433" s="214"/>
      <c r="B433" s="113" t="s">
        <v>1231</v>
      </c>
      <c r="C433" s="114" t="s">
        <v>1931</v>
      </c>
      <c r="D433" s="109">
        <f>+'Alimentazione CE Costi'!K833+'Alimentazione CE Costi'!K834+'Alimentazione CE Costi'!K835</f>
        <v>616.76</v>
      </c>
      <c r="E433" s="109">
        <f>+'Alimentazione CE Costi'!N833+'Alimentazione CE Costi'!N834+'Alimentazione CE Costi'!N835</f>
        <v>0</v>
      </c>
      <c r="F433" s="74"/>
      <c r="G433" s="223"/>
      <c r="H433" s="110"/>
      <c r="J433" s="106"/>
    </row>
    <row r="434" spans="1:10" ht="25.5">
      <c r="A434" s="214" t="s">
        <v>1529</v>
      </c>
      <c r="B434" s="113" t="s">
        <v>1235</v>
      </c>
      <c r="C434" s="114" t="s">
        <v>1932</v>
      </c>
      <c r="D434" s="109">
        <f>+'Alimentazione CE Costi'!K836</f>
        <v>0</v>
      </c>
      <c r="E434" s="109">
        <f>+'Alimentazione CE Costi'!N836</f>
        <v>0</v>
      </c>
      <c r="F434" s="74"/>
      <c r="G434" s="223"/>
      <c r="H434" s="110"/>
      <c r="J434" s="106"/>
    </row>
    <row r="435" spans="1:10" ht="25.5">
      <c r="A435" s="214"/>
      <c r="B435" s="113" t="s">
        <v>1237</v>
      </c>
      <c r="C435" s="114" t="s">
        <v>1933</v>
      </c>
      <c r="D435" s="109">
        <f>+'Alimentazione CE Costi'!K837</f>
        <v>0</v>
      </c>
      <c r="E435" s="109">
        <f>+'Alimentazione CE Costi'!N837</f>
        <v>0</v>
      </c>
      <c r="F435" s="74"/>
      <c r="G435" s="223"/>
      <c r="H435" s="110"/>
      <c r="J435" s="106"/>
    </row>
    <row r="436" spans="1:10" ht="18.75">
      <c r="A436" s="214"/>
      <c r="B436" s="164" t="s">
        <v>1934</v>
      </c>
      <c r="C436" s="165" t="s">
        <v>1935</v>
      </c>
      <c r="D436" s="153">
        <f t="shared" ref="D436" si="176">+D437+D438</f>
        <v>3589629.8900000006</v>
      </c>
      <c r="E436" s="153">
        <f t="shared" ref="E436" si="177">+E437+E438</f>
        <v>3520922.2</v>
      </c>
      <c r="F436" s="74" t="s">
        <v>2117</v>
      </c>
      <c r="G436" s="223"/>
      <c r="H436" s="110"/>
      <c r="J436" s="106"/>
    </row>
    <row r="437" spans="1:10" ht="25.5">
      <c r="A437" s="214"/>
      <c r="B437" s="107" t="s">
        <v>1239</v>
      </c>
      <c r="C437" s="108" t="s">
        <v>1936</v>
      </c>
      <c r="D437" s="109">
        <f>+ROUND(SUM('Alimentazione CE Costi'!K839:K846),2)</f>
        <v>13125.37</v>
      </c>
      <c r="E437" s="109">
        <f>+ROUND(SUM('Alimentazione CE Costi'!N839:N846),2)</f>
        <v>14514.34</v>
      </c>
      <c r="F437" s="74"/>
      <c r="G437" s="223"/>
      <c r="H437" s="110"/>
      <c r="J437" s="106"/>
    </row>
    <row r="438" spans="1:10" ht="18.75">
      <c r="A438" s="214"/>
      <c r="B438" s="138" t="s">
        <v>1249</v>
      </c>
      <c r="C438" s="139" t="s">
        <v>1937</v>
      </c>
      <c r="D438" s="140">
        <f t="shared" ref="D438" si="178">+D439+D442</f>
        <v>3576504.5200000005</v>
      </c>
      <c r="E438" s="140">
        <f t="shared" ref="E438" si="179">+E439+E442</f>
        <v>3506407.8600000003</v>
      </c>
      <c r="F438" s="74" t="s">
        <v>2117</v>
      </c>
      <c r="G438" s="223"/>
      <c r="H438" s="110"/>
      <c r="J438" s="106"/>
    </row>
    <row r="439" spans="1:10" ht="18.75">
      <c r="A439" s="216"/>
      <c r="B439" s="133" t="s">
        <v>1251</v>
      </c>
      <c r="C439" s="134" t="s">
        <v>1938</v>
      </c>
      <c r="D439" s="132">
        <f t="shared" ref="D439" si="180">+D440+D441</f>
        <v>1328310.4000000001</v>
      </c>
      <c r="E439" s="132">
        <f t="shared" ref="E439" si="181">+E440+E441</f>
        <v>1259667.47</v>
      </c>
      <c r="F439" s="74" t="s">
        <v>2117</v>
      </c>
      <c r="G439" s="223"/>
      <c r="H439" s="110"/>
      <c r="J439" s="106"/>
    </row>
    <row r="440" spans="1:10" ht="25.5">
      <c r="A440" s="216"/>
      <c r="B440" s="113" t="s">
        <v>1253</v>
      </c>
      <c r="C440" s="114" t="s">
        <v>1939</v>
      </c>
      <c r="D440" s="109">
        <f>+'Alimentazione CE Costi'!K849</f>
        <v>76489.59</v>
      </c>
      <c r="E440" s="109">
        <f>+'Alimentazione CE Costi'!N849</f>
        <v>47855.53</v>
      </c>
      <c r="F440" s="355"/>
      <c r="G440" s="223"/>
      <c r="H440" s="110"/>
      <c r="J440" s="106"/>
    </row>
    <row r="441" spans="1:10" ht="25.5">
      <c r="A441" s="216"/>
      <c r="B441" s="113" t="s">
        <v>1255</v>
      </c>
      <c r="C441" s="114" t="s">
        <v>1940</v>
      </c>
      <c r="D441" s="109">
        <f>+'Alimentazione CE Costi'!K850</f>
        <v>1251820.81</v>
      </c>
      <c r="E441" s="109">
        <f>+'Alimentazione CE Costi'!N850</f>
        <v>1211811.94</v>
      </c>
      <c r="F441" s="355"/>
      <c r="G441" s="223"/>
      <c r="H441" s="110"/>
      <c r="J441" s="106"/>
    </row>
    <row r="442" spans="1:10" ht="25.5">
      <c r="A442" s="216"/>
      <c r="B442" s="107" t="s">
        <v>1257</v>
      </c>
      <c r="C442" s="108" t="s">
        <v>1941</v>
      </c>
      <c r="D442" s="109">
        <f>+ROUND(SUM('Alimentazione CE Costi'!K852:K856),2)</f>
        <v>2248194.12</v>
      </c>
      <c r="E442" s="109">
        <f>+ROUND(SUM('Alimentazione CE Costi'!N852:N856),2)</f>
        <v>2246740.39</v>
      </c>
      <c r="F442" s="355"/>
      <c r="G442" s="223"/>
      <c r="H442" s="110"/>
      <c r="J442" s="106"/>
    </row>
    <row r="443" spans="1:10" ht="18.75">
      <c r="A443" s="216"/>
      <c r="B443" s="138" t="s">
        <v>1264</v>
      </c>
      <c r="C443" s="139" t="s">
        <v>1942</v>
      </c>
      <c r="D443" s="140">
        <f t="shared" ref="D443" si="182">+D444+D445</f>
        <v>47470.42</v>
      </c>
      <c r="E443" s="140">
        <f t="shared" ref="E443" si="183">+E444+E445</f>
        <v>4012</v>
      </c>
      <c r="F443" s="74" t="s">
        <v>2117</v>
      </c>
      <c r="G443" s="223"/>
      <c r="H443" s="110"/>
      <c r="J443" s="106"/>
    </row>
    <row r="444" spans="1:10" ht="25.5">
      <c r="A444" s="216"/>
      <c r="B444" s="111" t="s">
        <v>1266</v>
      </c>
      <c r="C444" s="112" t="s">
        <v>1943</v>
      </c>
      <c r="D444" s="119">
        <f>+ROUND(SUM('Alimentazione CE Costi'!K860:K874),2)</f>
        <v>0</v>
      </c>
      <c r="E444" s="119">
        <f>+ROUND(SUM('Alimentazione CE Costi'!N860:N874),2)</f>
        <v>0</v>
      </c>
      <c r="F444" s="355"/>
      <c r="G444" s="223"/>
      <c r="H444" s="110"/>
      <c r="J444" s="106"/>
    </row>
    <row r="445" spans="1:10" ht="18.75">
      <c r="A445" s="216"/>
      <c r="B445" s="111" t="s">
        <v>1284</v>
      </c>
      <c r="C445" s="112" t="s">
        <v>1944</v>
      </c>
      <c r="D445" s="109">
        <f>+ROUND(SUM('Alimentazione CE Costi'!K876:K918),2)</f>
        <v>47470.42</v>
      </c>
      <c r="E445" s="109">
        <f>+ROUND(SUM('Alimentazione CE Costi'!N876:N918),2)</f>
        <v>4012</v>
      </c>
      <c r="F445" s="355"/>
      <c r="G445" s="223"/>
      <c r="H445" s="110"/>
      <c r="J445" s="106"/>
    </row>
    <row r="446" spans="1:10" ht="18.75">
      <c r="A446" s="216"/>
      <c r="B446" s="138" t="s">
        <v>1328</v>
      </c>
      <c r="C446" s="139" t="s">
        <v>1945</v>
      </c>
      <c r="D446" s="140">
        <f t="shared" ref="D446" si="184">+D447+D456</f>
        <v>372442.76000000007</v>
      </c>
      <c r="E446" s="140">
        <f t="shared" ref="E446" si="185">+E447+E456</f>
        <v>227197.48</v>
      </c>
      <c r="F446" s="74" t="s">
        <v>2117</v>
      </c>
      <c r="G446" s="223"/>
      <c r="H446" s="110"/>
      <c r="J446" s="106"/>
    </row>
    <row r="447" spans="1:10" ht="18.75">
      <c r="A447" s="216"/>
      <c r="B447" s="133" t="s">
        <v>1330</v>
      </c>
      <c r="C447" s="134" t="s">
        <v>1946</v>
      </c>
      <c r="D447" s="132">
        <f t="shared" ref="D447" si="186">SUM(D448:D455)</f>
        <v>380033.65000000008</v>
      </c>
      <c r="E447" s="132">
        <f t="shared" ref="E447" si="187">SUM(E448:E455)</f>
        <v>247108.95</v>
      </c>
      <c r="F447" s="74" t="s">
        <v>2117</v>
      </c>
      <c r="G447" s="223"/>
      <c r="H447" s="110"/>
      <c r="J447" s="106"/>
    </row>
    <row r="448" spans="1:10" ht="18.75">
      <c r="A448" s="216"/>
      <c r="B448" s="113" t="s">
        <v>1331</v>
      </c>
      <c r="C448" s="114" t="s">
        <v>1947</v>
      </c>
      <c r="D448" s="109">
        <f>+'Alimentazione CE Costi'!K921</f>
        <v>-4046.74</v>
      </c>
      <c r="E448" s="109">
        <f>+'Alimentazione CE Costi'!N921</f>
        <v>14002.09</v>
      </c>
      <c r="F448" s="355"/>
      <c r="G448" s="223"/>
      <c r="H448" s="110"/>
      <c r="J448" s="106"/>
    </row>
    <row r="449" spans="1:10" ht="18.75">
      <c r="A449" s="216"/>
      <c r="B449" s="113" t="s">
        <v>1332</v>
      </c>
      <c r="C449" s="114" t="s">
        <v>1948</v>
      </c>
      <c r="D449" s="109">
        <f>+'Alimentazione CE Costi'!K922</f>
        <v>0</v>
      </c>
      <c r="E449" s="109">
        <f>+'Alimentazione CE Costi'!N922</f>
        <v>0</v>
      </c>
      <c r="F449" s="355"/>
      <c r="G449" s="223"/>
      <c r="H449" s="110"/>
      <c r="J449" s="106"/>
    </row>
    <row r="450" spans="1:10" ht="18.75">
      <c r="A450" s="216"/>
      <c r="B450" s="113" t="s">
        <v>1333</v>
      </c>
      <c r="C450" s="114" t="s">
        <v>1949</v>
      </c>
      <c r="D450" s="109">
        <f>+'Alimentazione CE Costi'!K923</f>
        <v>372919.09</v>
      </c>
      <c r="E450" s="109">
        <f>+'Alimentazione CE Costi'!N923</f>
        <v>348173.56</v>
      </c>
      <c r="F450" s="355"/>
      <c r="G450" s="223"/>
      <c r="H450" s="110"/>
      <c r="J450" s="106"/>
    </row>
    <row r="451" spans="1:10" ht="18.75">
      <c r="A451" s="216"/>
      <c r="B451" s="113" t="s">
        <v>1334</v>
      </c>
      <c r="C451" s="114" t="s">
        <v>1950</v>
      </c>
      <c r="D451" s="109">
        <f>+'Alimentazione CE Costi'!K924</f>
        <v>-867.36</v>
      </c>
      <c r="E451" s="109">
        <f>+'Alimentazione CE Costi'!N924</f>
        <v>-153.51</v>
      </c>
      <c r="F451" s="355"/>
      <c r="G451" s="223"/>
      <c r="H451" s="110"/>
      <c r="J451" s="106"/>
    </row>
    <row r="452" spans="1:10" ht="18.75">
      <c r="A452" s="216"/>
      <c r="B452" s="113" t="s">
        <v>1335</v>
      </c>
      <c r="C452" s="114" t="s">
        <v>1951</v>
      </c>
      <c r="D452" s="109">
        <f>+'Alimentazione CE Costi'!K925</f>
        <v>0</v>
      </c>
      <c r="E452" s="109">
        <f>+'Alimentazione CE Costi'!N925</f>
        <v>0</v>
      </c>
      <c r="F452" s="355"/>
      <c r="G452" s="223"/>
      <c r="H452" s="110"/>
      <c r="J452" s="106"/>
    </row>
    <row r="453" spans="1:10" ht="18.75">
      <c r="A453" s="216"/>
      <c r="B453" s="113" t="s">
        <v>1336</v>
      </c>
      <c r="C453" s="114" t="s">
        <v>1952</v>
      </c>
      <c r="D453" s="109">
        <f>+'Alimentazione CE Costi'!K926</f>
        <v>-7285.85</v>
      </c>
      <c r="E453" s="109">
        <f>+'Alimentazione CE Costi'!N926</f>
        <v>-7310.42</v>
      </c>
      <c r="F453" s="355"/>
      <c r="G453" s="223"/>
      <c r="H453" s="110"/>
      <c r="J453" s="106"/>
    </row>
    <row r="454" spans="1:10" ht="18.75">
      <c r="A454" s="216"/>
      <c r="B454" s="113" t="s">
        <v>1337</v>
      </c>
      <c r="C454" s="114" t="s">
        <v>1953</v>
      </c>
      <c r="D454" s="109">
        <f>+'Alimentazione CE Costi'!K927</f>
        <v>0</v>
      </c>
      <c r="E454" s="109">
        <f>+'Alimentazione CE Costi'!N927</f>
        <v>0</v>
      </c>
      <c r="F454" s="355"/>
      <c r="G454" s="223"/>
      <c r="H454" s="110"/>
      <c r="J454" s="106"/>
    </row>
    <row r="455" spans="1:10" ht="18.75">
      <c r="A455" s="216"/>
      <c r="B455" s="113" t="s">
        <v>1338</v>
      </c>
      <c r="C455" s="114" t="s">
        <v>1954</v>
      </c>
      <c r="D455" s="109">
        <f>+'Alimentazione CE Costi'!K928</f>
        <v>19314.509999999998</v>
      </c>
      <c r="E455" s="109">
        <f>+'Alimentazione CE Costi'!N928</f>
        <v>-107602.77</v>
      </c>
      <c r="F455" s="355"/>
      <c r="G455" s="223"/>
      <c r="H455" s="110"/>
      <c r="J455" s="106"/>
    </row>
    <row r="456" spans="1:10" ht="18.75">
      <c r="A456" s="216"/>
      <c r="B456" s="133" t="s">
        <v>1340</v>
      </c>
      <c r="C456" s="134" t="s">
        <v>1955</v>
      </c>
      <c r="D456" s="132">
        <f t="shared" ref="D456" si="188">SUM(D457:D462)</f>
        <v>-7590.89</v>
      </c>
      <c r="E456" s="132">
        <f t="shared" ref="E456" si="189">SUM(E457:E462)</f>
        <v>-19911.47</v>
      </c>
      <c r="F456" s="74" t="s">
        <v>2117</v>
      </c>
      <c r="G456" s="223"/>
      <c r="H456" s="110"/>
      <c r="J456" s="106"/>
    </row>
    <row r="457" spans="1:10" ht="18.75">
      <c r="A457" s="216"/>
      <c r="B457" s="113" t="s">
        <v>1341</v>
      </c>
      <c r="C457" s="114" t="s">
        <v>1956</v>
      </c>
      <c r="D457" s="109">
        <f>+'Alimentazione CE Costi'!K930</f>
        <v>0</v>
      </c>
      <c r="E457" s="109">
        <f>+'Alimentazione CE Costi'!N930</f>
        <v>-31.68</v>
      </c>
      <c r="F457" s="355"/>
      <c r="G457" s="223"/>
      <c r="H457" s="110"/>
      <c r="J457" s="106"/>
    </row>
    <row r="458" spans="1:10" ht="25.5">
      <c r="A458" s="216"/>
      <c r="B458" s="113" t="s">
        <v>1342</v>
      </c>
      <c r="C458" s="114" t="s">
        <v>1957</v>
      </c>
      <c r="D458" s="109">
        <f>+'Alimentazione CE Costi'!K931</f>
        <v>2279.4</v>
      </c>
      <c r="E458" s="109">
        <f>+'Alimentazione CE Costi'!N931</f>
        <v>-274.01</v>
      </c>
      <c r="F458" s="355"/>
      <c r="G458" s="223"/>
      <c r="H458" s="110"/>
      <c r="J458" s="106"/>
    </row>
    <row r="459" spans="1:10" ht="18.75">
      <c r="A459" s="216"/>
      <c r="B459" s="113" t="s">
        <v>1343</v>
      </c>
      <c r="C459" s="114" t="s">
        <v>1958</v>
      </c>
      <c r="D459" s="109">
        <f>+'Alimentazione CE Costi'!K932</f>
        <v>0</v>
      </c>
      <c r="E459" s="109">
        <f>+'Alimentazione CE Costi'!N932</f>
        <v>0</v>
      </c>
      <c r="F459" s="355"/>
      <c r="G459" s="223"/>
      <c r="H459" s="110"/>
      <c r="J459" s="106"/>
    </row>
    <row r="460" spans="1:10" ht="18.75">
      <c r="A460" s="216"/>
      <c r="B460" s="113" t="s">
        <v>1344</v>
      </c>
      <c r="C460" s="114" t="s">
        <v>1959</v>
      </c>
      <c r="D460" s="109">
        <f>+'Alimentazione CE Costi'!K933</f>
        <v>-10320.41</v>
      </c>
      <c r="E460" s="109">
        <f>+'Alimentazione CE Costi'!N933</f>
        <v>3997.17</v>
      </c>
      <c r="F460" s="355"/>
      <c r="G460" s="223"/>
      <c r="H460" s="110"/>
      <c r="J460" s="106"/>
    </row>
    <row r="461" spans="1:10" ht="18.75">
      <c r="A461" s="216"/>
      <c r="B461" s="113" t="s">
        <v>1345</v>
      </c>
      <c r="C461" s="114" t="s">
        <v>1960</v>
      </c>
      <c r="D461" s="109">
        <f>+'Alimentazione CE Costi'!K934</f>
        <v>-626.99</v>
      </c>
      <c r="E461" s="109">
        <f>+'Alimentazione CE Costi'!N934</f>
        <v>-1744.84</v>
      </c>
      <c r="F461" s="355"/>
      <c r="G461" s="223"/>
      <c r="H461" s="110"/>
      <c r="J461" s="106"/>
    </row>
    <row r="462" spans="1:10" ht="18.75">
      <c r="A462" s="216"/>
      <c r="B462" s="113" t="s">
        <v>1346</v>
      </c>
      <c r="C462" s="114" t="s">
        <v>1961</v>
      </c>
      <c r="D462" s="109">
        <f>+'Alimentazione CE Costi'!K935</f>
        <v>1077.1099999999999</v>
      </c>
      <c r="E462" s="109">
        <f>+'Alimentazione CE Costi'!N935</f>
        <v>-21858.11</v>
      </c>
      <c r="F462" s="355"/>
      <c r="G462" s="223"/>
      <c r="H462" s="110"/>
      <c r="J462" s="106"/>
    </row>
    <row r="463" spans="1:10" ht="18.75">
      <c r="A463" s="216"/>
      <c r="B463" s="138" t="s">
        <v>1348</v>
      </c>
      <c r="C463" s="139" t="s">
        <v>1962</v>
      </c>
      <c r="D463" s="140">
        <f t="shared" ref="D463" si="190">+D464+D472+D473+D480</f>
        <v>8081658.120000001</v>
      </c>
      <c r="E463" s="140">
        <f t="shared" ref="E463" si="191">+E464+E472+E473+E480</f>
        <v>7900476.6799999997</v>
      </c>
      <c r="F463" s="74" t="s">
        <v>2117</v>
      </c>
      <c r="G463" s="223"/>
      <c r="H463" s="110"/>
      <c r="J463" s="106"/>
    </row>
    <row r="464" spans="1:10" ht="18.75">
      <c r="A464" s="216"/>
      <c r="B464" s="133" t="s">
        <v>1350</v>
      </c>
      <c r="C464" s="134" t="s">
        <v>1963</v>
      </c>
      <c r="D464" s="132">
        <f>SUM(D465:D471)</f>
        <v>138614.99</v>
      </c>
      <c r="E464" s="132">
        <f t="shared" ref="E464" si="192">SUM(E465:E471)</f>
        <v>0</v>
      </c>
      <c r="F464" s="74" t="s">
        <v>2117</v>
      </c>
      <c r="G464" s="223"/>
      <c r="H464" s="110"/>
      <c r="J464" s="106"/>
    </row>
    <row r="465" spans="1:10" ht="25.5">
      <c r="A465" s="216"/>
      <c r="B465" s="113" t="s">
        <v>1352</v>
      </c>
      <c r="C465" s="114" t="s">
        <v>1964</v>
      </c>
      <c r="D465" s="109">
        <f>+'Alimentazione CE Costi'!K938</f>
        <v>73169.210000000006</v>
      </c>
      <c r="E465" s="109">
        <f>+'Alimentazione CE Costi'!N938</f>
        <v>0</v>
      </c>
      <c r="F465" s="355"/>
      <c r="G465" s="223"/>
      <c r="H465" s="110"/>
      <c r="J465" s="106"/>
    </row>
    <row r="466" spans="1:10" ht="25.5">
      <c r="A466" s="216"/>
      <c r="B466" s="113" t="s">
        <v>1354</v>
      </c>
      <c r="C466" s="114" t="s">
        <v>1965</v>
      </c>
      <c r="D466" s="109">
        <f>+'Alimentazione CE Costi'!K939</f>
        <v>65445.78</v>
      </c>
      <c r="E466" s="109">
        <f>+'Alimentazione CE Costi'!N939</f>
        <v>0</v>
      </c>
      <c r="F466" s="355"/>
      <c r="G466" s="223"/>
      <c r="H466" s="110"/>
      <c r="J466" s="106"/>
    </row>
    <row r="467" spans="1:10" ht="25.5">
      <c r="A467" s="216"/>
      <c r="B467" s="113" t="s">
        <v>1356</v>
      </c>
      <c r="C467" s="114" t="s">
        <v>1966</v>
      </c>
      <c r="D467" s="109">
        <f>+'Alimentazione CE Costi'!K940</f>
        <v>0</v>
      </c>
      <c r="E467" s="109">
        <f>+'Alimentazione CE Costi'!N940</f>
        <v>0</v>
      </c>
      <c r="F467" s="355"/>
      <c r="G467" s="223"/>
      <c r="H467" s="110"/>
      <c r="J467" s="106"/>
    </row>
    <row r="468" spans="1:10" ht="25.5">
      <c r="A468" s="216"/>
      <c r="B468" s="113" t="s">
        <v>1358</v>
      </c>
      <c r="C468" s="114" t="s">
        <v>1967</v>
      </c>
      <c r="D468" s="109">
        <f>+'Alimentazione CE Costi'!K941</f>
        <v>0</v>
      </c>
      <c r="E468" s="109">
        <f>+'Alimentazione CE Costi'!N941</f>
        <v>0</v>
      </c>
      <c r="F468" s="355"/>
      <c r="G468" s="223"/>
      <c r="H468" s="110"/>
      <c r="J468" s="106"/>
    </row>
    <row r="469" spans="1:10" ht="18.75">
      <c r="A469" s="216"/>
      <c r="B469" s="113" t="s">
        <v>1359</v>
      </c>
      <c r="C469" s="114" t="s">
        <v>1968</v>
      </c>
      <c r="D469" s="109">
        <f>+'Alimentazione CE Costi'!K942+'Alimentazione CE Costi'!K943</f>
        <v>0</v>
      </c>
      <c r="E469" s="109">
        <f>+'Alimentazione CE Costi'!N942+'Alimentazione CE Costi'!N943</f>
        <v>0</v>
      </c>
      <c r="F469" s="355"/>
      <c r="G469" s="223"/>
      <c r="H469" s="110"/>
      <c r="J469" s="106"/>
    </row>
    <row r="470" spans="1:10" ht="18.75">
      <c r="A470" s="216"/>
      <c r="B470" s="113" t="s">
        <v>1361</v>
      </c>
      <c r="C470" s="114" t="s">
        <v>1969</v>
      </c>
      <c r="D470" s="109">
        <f>+'Alimentazione CE Costi'!K945+'Alimentazione CE Costi'!K946+'Alimentazione CE Costi'!K947</f>
        <v>0</v>
      </c>
      <c r="E470" s="109">
        <f>+'Alimentazione CE Costi'!N945+'Alimentazione CE Costi'!N946+'Alimentazione CE Costi'!N947</f>
        <v>0</v>
      </c>
      <c r="F470" s="355"/>
      <c r="G470" s="223"/>
      <c r="H470" s="110"/>
      <c r="J470" s="106"/>
    </row>
    <row r="471" spans="1:10" ht="18.75">
      <c r="A471" s="216"/>
      <c r="B471" s="113" t="s">
        <v>1365</v>
      </c>
      <c r="C471" s="114" t="s">
        <v>1970</v>
      </c>
      <c r="D471" s="109">
        <f>+'Alimentazione CE Costi'!K948</f>
        <v>0</v>
      </c>
      <c r="E471" s="109">
        <f>+'Alimentazione CE Costi'!N948</f>
        <v>0</v>
      </c>
      <c r="F471" s="355"/>
      <c r="G471" s="223"/>
      <c r="H471" s="110"/>
      <c r="J471" s="106"/>
    </row>
    <row r="472" spans="1:10" ht="25.5">
      <c r="A472" s="216"/>
      <c r="B472" s="111" t="s">
        <v>1367</v>
      </c>
      <c r="C472" s="112" t="s">
        <v>1971</v>
      </c>
      <c r="D472" s="109">
        <f>+'Alimentazione CE Costi'!K950+'Alimentazione CE Costi'!K951</f>
        <v>0</v>
      </c>
      <c r="E472" s="109">
        <f>+'Alimentazione CE Costi'!N950+'Alimentazione CE Costi'!N951</f>
        <v>0</v>
      </c>
      <c r="F472" s="355"/>
      <c r="G472" s="223"/>
      <c r="H472" s="110"/>
      <c r="J472" s="106"/>
    </row>
    <row r="473" spans="1:10" ht="25.5">
      <c r="A473" s="216"/>
      <c r="B473" s="133" t="s">
        <v>1371</v>
      </c>
      <c r="C473" s="134" t="s">
        <v>1972</v>
      </c>
      <c r="D473" s="132">
        <f t="shared" ref="D473" si="193">SUM(D474:D479)</f>
        <v>6363249.0300000003</v>
      </c>
      <c r="E473" s="132">
        <f t="shared" ref="E473" si="194">SUM(E474:E479)</f>
        <v>6556395.6399999997</v>
      </c>
      <c r="F473" s="74" t="s">
        <v>2117</v>
      </c>
      <c r="G473" s="223"/>
      <c r="H473" s="110"/>
      <c r="J473" s="106"/>
    </row>
    <row r="474" spans="1:10" ht="25.5">
      <c r="A474" s="216"/>
      <c r="B474" s="113" t="s">
        <v>1373</v>
      </c>
      <c r="C474" s="114" t="s">
        <v>1973</v>
      </c>
      <c r="D474" s="109">
        <f>+'Alimentazione CE Costi'!K953</f>
        <v>253169.98</v>
      </c>
      <c r="E474" s="109">
        <f>+'Alimentazione CE Costi'!N953</f>
        <v>1828540.44</v>
      </c>
      <c r="F474" s="355"/>
      <c r="G474" s="223"/>
      <c r="H474" s="110"/>
      <c r="J474" s="106"/>
    </row>
    <row r="475" spans="1:10" ht="25.5">
      <c r="A475" s="216"/>
      <c r="B475" s="113" t="s">
        <v>1375</v>
      </c>
      <c r="C475" s="114" t="s">
        <v>1974</v>
      </c>
      <c r="D475" s="109">
        <f>+'Alimentazione CE Costi'!K954</f>
        <v>0</v>
      </c>
      <c r="E475" s="109">
        <f>+'Alimentazione CE Costi'!N954</f>
        <v>0</v>
      </c>
      <c r="F475" s="355"/>
      <c r="G475" s="223"/>
      <c r="H475" s="110"/>
      <c r="J475" s="106"/>
    </row>
    <row r="476" spans="1:10" ht="25.5">
      <c r="A476" s="216"/>
      <c r="B476" s="113" t="s">
        <v>1377</v>
      </c>
      <c r="C476" s="114" t="s">
        <v>1975</v>
      </c>
      <c r="D476" s="109">
        <f>+'Alimentazione CE Costi'!K955</f>
        <v>1381551.48</v>
      </c>
      <c r="E476" s="109">
        <f>+'Alimentazione CE Costi'!N955</f>
        <v>1453341.53</v>
      </c>
      <c r="F476" s="355"/>
      <c r="G476" s="223"/>
      <c r="H476" s="110"/>
      <c r="J476" s="106"/>
    </row>
    <row r="477" spans="1:10" ht="25.5">
      <c r="A477" s="216"/>
      <c r="B477" s="113" t="s">
        <v>1379</v>
      </c>
      <c r="C477" s="114" t="s">
        <v>1976</v>
      </c>
      <c r="D477" s="109">
        <f>+'Alimentazione CE Costi'!K956</f>
        <v>1288763.03</v>
      </c>
      <c r="E477" s="109">
        <f>+'Alimentazione CE Costi'!N956</f>
        <v>1620572.45</v>
      </c>
      <c r="F477" s="355"/>
      <c r="G477" s="223"/>
      <c r="H477" s="110"/>
      <c r="J477" s="106"/>
    </row>
    <row r="478" spans="1:10" ht="25.5">
      <c r="A478" s="216"/>
      <c r="B478" s="113" t="s">
        <v>1381</v>
      </c>
      <c r="C478" s="114" t="s">
        <v>1977</v>
      </c>
      <c r="D478" s="109">
        <f>+'Alimentazione CE Costi'!K958+'Alimentazione CE Costi'!K959</f>
        <v>1671236.16</v>
      </c>
      <c r="E478" s="109">
        <f>+'Alimentazione CE Costi'!N958+'Alimentazione CE Costi'!N959</f>
        <v>267828.58999999997</v>
      </c>
      <c r="F478" s="355"/>
      <c r="G478" s="223"/>
      <c r="H478" s="110"/>
      <c r="J478" s="106"/>
    </row>
    <row r="479" spans="1:10" ht="25.5">
      <c r="A479" s="216"/>
      <c r="B479" s="113" t="s">
        <v>1385</v>
      </c>
      <c r="C479" s="114" t="s">
        <v>1978</v>
      </c>
      <c r="D479" s="109">
        <f>+'Alimentazione CE Costi'!K960</f>
        <v>1768528.38</v>
      </c>
      <c r="E479" s="109">
        <f>+'Alimentazione CE Costi'!N960</f>
        <v>1386112.63</v>
      </c>
      <c r="F479" s="355"/>
      <c r="G479" s="223"/>
      <c r="H479" s="110"/>
      <c r="J479" s="106"/>
    </row>
    <row r="480" spans="1:10" ht="18.75">
      <c r="A480" s="216"/>
      <c r="B480" s="133" t="s">
        <v>1387</v>
      </c>
      <c r="C480" s="134" t="s">
        <v>1979</v>
      </c>
      <c r="D480" s="132">
        <f t="shared" ref="D480" si="195">SUM(D481:D490)</f>
        <v>1579794.1</v>
      </c>
      <c r="E480" s="132">
        <f t="shared" ref="E480" si="196">SUM(E481:E490)</f>
        <v>1344081.04</v>
      </c>
      <c r="F480" s="74" t="s">
        <v>2117</v>
      </c>
      <c r="G480" s="223"/>
      <c r="H480" s="110"/>
      <c r="J480" s="106"/>
    </row>
    <row r="481" spans="1:10" ht="18.75">
      <c r="A481" s="216"/>
      <c r="B481" s="121" t="s">
        <v>1389</v>
      </c>
      <c r="C481" s="122" t="s">
        <v>1980</v>
      </c>
      <c r="D481" s="109">
        <f>+'Alimentazione CE Costi'!K962</f>
        <v>0</v>
      </c>
      <c r="E481" s="109">
        <f>+'Alimentazione CE Costi'!N962</f>
        <v>0</v>
      </c>
      <c r="F481" s="355"/>
      <c r="G481" s="223"/>
      <c r="H481" s="110"/>
      <c r="J481" s="106"/>
    </row>
    <row r="482" spans="1:10" ht="18.75">
      <c r="A482" s="216"/>
      <c r="B482" s="121" t="s">
        <v>1391</v>
      </c>
      <c r="C482" s="122" t="s">
        <v>1981</v>
      </c>
      <c r="D482" s="109">
        <f>+'Alimentazione CE Costi'!K963</f>
        <v>0</v>
      </c>
      <c r="E482" s="109">
        <f>+'Alimentazione CE Costi'!N963</f>
        <v>0</v>
      </c>
      <c r="F482" s="355"/>
      <c r="G482" s="223"/>
      <c r="H482" s="110"/>
      <c r="J482" s="106"/>
    </row>
    <row r="483" spans="1:10" ht="18.75">
      <c r="A483" s="216"/>
      <c r="B483" s="121" t="s">
        <v>1393</v>
      </c>
      <c r="C483" s="122" t="s">
        <v>1982</v>
      </c>
      <c r="D483" s="109">
        <f>+'Alimentazione CE Costi'!K964</f>
        <v>907292.02</v>
      </c>
      <c r="E483" s="109">
        <f>+'Alimentazione CE Costi'!N964</f>
        <v>457035.37</v>
      </c>
      <c r="F483" s="355"/>
      <c r="G483" s="223"/>
      <c r="H483" s="110"/>
      <c r="J483" s="106"/>
    </row>
    <row r="484" spans="1:10" ht="18.75">
      <c r="A484" s="216"/>
      <c r="B484" s="113" t="s">
        <v>1395</v>
      </c>
      <c r="C484" s="114" t="s">
        <v>1983</v>
      </c>
      <c r="D484" s="109">
        <f>+'Alimentazione CE Costi'!K965</f>
        <v>146106.09</v>
      </c>
      <c r="E484" s="109">
        <f>+'Alimentazione CE Costi'!N965</f>
        <v>85317.38</v>
      </c>
      <c r="F484" s="355"/>
      <c r="G484" s="223"/>
      <c r="H484" s="110"/>
      <c r="J484" s="106"/>
    </row>
    <row r="485" spans="1:10" ht="18.75">
      <c r="A485" s="216"/>
      <c r="B485" s="113" t="s">
        <v>1397</v>
      </c>
      <c r="C485" s="114" t="s">
        <v>1984</v>
      </c>
      <c r="D485" s="109">
        <f>+'Alimentazione CE Costi'!K966</f>
        <v>400472.81</v>
      </c>
      <c r="E485" s="109">
        <f>+'Alimentazione CE Costi'!N966</f>
        <v>747488.97</v>
      </c>
      <c r="F485" s="355"/>
      <c r="G485" s="223"/>
      <c r="H485" s="110"/>
      <c r="J485" s="106"/>
    </row>
    <row r="486" spans="1:10" ht="18.75">
      <c r="A486" s="216"/>
      <c r="B486" s="113" t="s">
        <v>1399</v>
      </c>
      <c r="C486" s="114" t="s">
        <v>1985</v>
      </c>
      <c r="D486" s="109">
        <f>+'Alimentazione CE Costi'!K967</f>
        <v>0</v>
      </c>
      <c r="E486" s="109">
        <f>+'Alimentazione CE Costi'!N967</f>
        <v>0</v>
      </c>
      <c r="F486" s="355"/>
      <c r="G486" s="223"/>
      <c r="H486" s="110"/>
      <c r="J486" s="106"/>
    </row>
    <row r="487" spans="1:10" ht="18.75">
      <c r="A487" s="216"/>
      <c r="B487" s="113" t="s">
        <v>1401</v>
      </c>
      <c r="C487" s="114" t="s">
        <v>1986</v>
      </c>
      <c r="D487" s="109">
        <f>+'Alimentazione CE Costi'!K968</f>
        <v>0</v>
      </c>
      <c r="E487" s="109">
        <f>+'Alimentazione CE Costi'!N968</f>
        <v>0</v>
      </c>
      <c r="F487" s="355"/>
      <c r="G487" s="223"/>
      <c r="H487" s="110"/>
      <c r="J487" s="106"/>
    </row>
    <row r="488" spans="1:10" ht="18.75">
      <c r="A488" s="216"/>
      <c r="B488" s="113" t="s">
        <v>1403</v>
      </c>
      <c r="C488" s="114" t="s">
        <v>1987</v>
      </c>
      <c r="D488" s="109">
        <f>+'Alimentazione CE Costi'!K969</f>
        <v>0</v>
      </c>
      <c r="E488" s="109">
        <f>+'Alimentazione CE Costi'!N969</f>
        <v>0</v>
      </c>
      <c r="F488" s="355"/>
      <c r="G488" s="223"/>
      <c r="H488" s="110"/>
      <c r="J488" s="106"/>
    </row>
    <row r="489" spans="1:10" ht="25.5">
      <c r="A489" s="216"/>
      <c r="B489" s="113" t="s">
        <v>1405</v>
      </c>
      <c r="C489" s="114" t="s">
        <v>1988</v>
      </c>
      <c r="D489" s="109">
        <f>+'Alimentazione CE Costi'!K970</f>
        <v>125923.18</v>
      </c>
      <c r="E489" s="109">
        <f>+'Alimentazione CE Costi'!N970</f>
        <v>54239.32</v>
      </c>
      <c r="F489" s="355"/>
      <c r="G489" s="223"/>
      <c r="H489" s="110"/>
      <c r="J489" s="106"/>
    </row>
    <row r="490" spans="1:10" ht="18.75">
      <c r="A490" s="216"/>
      <c r="B490" s="121" t="s">
        <v>1406</v>
      </c>
      <c r="C490" s="123" t="s">
        <v>1989</v>
      </c>
      <c r="D490" s="109">
        <f>+'Alimentazione CE Costi'!K971</f>
        <v>0</v>
      </c>
      <c r="E490" s="109">
        <f>+'Alimentazione CE Costi'!N971</f>
        <v>0</v>
      </c>
      <c r="F490" s="355"/>
      <c r="G490" s="223"/>
      <c r="H490" s="110"/>
      <c r="J490" s="106"/>
    </row>
    <row r="491" spans="1:10" ht="18.75">
      <c r="A491" s="214"/>
      <c r="B491" s="141" t="s">
        <v>1990</v>
      </c>
      <c r="C491" s="142" t="s">
        <v>1991</v>
      </c>
      <c r="D491" s="143">
        <f>+D463+D446+D436+D428+D386+D376+D368+D199+D160+D443</f>
        <v>100984343.29000001</v>
      </c>
      <c r="E491" s="143">
        <f>+E463+E446+E436+E428+E386+E376+E368+E199+E160+E443</f>
        <v>95531605.639999986</v>
      </c>
      <c r="F491" s="74"/>
      <c r="G491" s="223"/>
      <c r="H491" s="110"/>
      <c r="J491" s="106"/>
    </row>
    <row r="492" spans="1:10" ht="18.75">
      <c r="A492" s="214"/>
      <c r="B492" s="154"/>
      <c r="C492" s="155" t="s">
        <v>1992</v>
      </c>
      <c r="D492" s="156"/>
      <c r="E492" s="156"/>
      <c r="F492" s="74"/>
      <c r="G492" s="223"/>
      <c r="H492" s="110"/>
      <c r="J492" s="106"/>
    </row>
    <row r="493" spans="1:10" ht="18.75">
      <c r="A493" s="214"/>
      <c r="B493" s="138" t="s">
        <v>459</v>
      </c>
      <c r="C493" s="139" t="s">
        <v>1993</v>
      </c>
      <c r="D493" s="140">
        <f t="shared" ref="D493" si="197">+D494+D495+D496</f>
        <v>841.19999999999993</v>
      </c>
      <c r="E493" s="140">
        <f t="shared" ref="E493" si="198">+E494+E495+E496</f>
        <v>214.60000000000002</v>
      </c>
      <c r="F493" s="74" t="s">
        <v>2117</v>
      </c>
      <c r="G493" s="223"/>
      <c r="H493" s="110"/>
      <c r="J493" s="106"/>
    </row>
    <row r="494" spans="1:10" ht="18.75">
      <c r="A494" s="214"/>
      <c r="B494" s="111" t="s">
        <v>461</v>
      </c>
      <c r="C494" s="112" t="s">
        <v>1994</v>
      </c>
      <c r="D494" s="109">
        <f>+'Alimentazione CE Ricavi'!K230</f>
        <v>0.06</v>
      </c>
      <c r="E494" s="109">
        <f>+'Alimentazione CE Ricavi'!N230</f>
        <v>0</v>
      </c>
      <c r="F494" s="74"/>
      <c r="G494" s="223"/>
      <c r="H494" s="110"/>
      <c r="J494" s="106"/>
    </row>
    <row r="495" spans="1:10" ht="18.75">
      <c r="A495" s="214"/>
      <c r="B495" s="111" t="s">
        <v>463</v>
      </c>
      <c r="C495" s="112" t="s">
        <v>1995</v>
      </c>
      <c r="D495" s="109">
        <f>+'Alimentazione CE Ricavi'!K232+'Alimentazione CE Ricavi'!K233</f>
        <v>841.14</v>
      </c>
      <c r="E495" s="109">
        <f>+'Alimentazione CE Ricavi'!N232+'Alimentazione CE Ricavi'!N233</f>
        <v>108.09</v>
      </c>
      <c r="F495" s="74"/>
      <c r="G495" s="223"/>
      <c r="H495" s="110"/>
      <c r="J495" s="106"/>
    </row>
    <row r="496" spans="1:10" ht="18.75">
      <c r="A496" s="214"/>
      <c r="B496" s="111" t="s">
        <v>467</v>
      </c>
      <c r="C496" s="112" t="s">
        <v>1996</v>
      </c>
      <c r="D496" s="109">
        <f>+'Alimentazione CE Ricavi'!K235+'Alimentazione CE Ricavi'!K236+'Alimentazione CE Ricavi'!K237</f>
        <v>0</v>
      </c>
      <c r="E496" s="109">
        <f>+'Alimentazione CE Ricavi'!N235+'Alimentazione CE Ricavi'!N236+'Alimentazione CE Ricavi'!N237</f>
        <v>106.51</v>
      </c>
      <c r="F496" s="74"/>
      <c r="G496" s="223"/>
      <c r="H496" s="110"/>
      <c r="J496" s="106"/>
    </row>
    <row r="497" spans="1:10" ht="18.75">
      <c r="A497" s="214"/>
      <c r="B497" s="138" t="s">
        <v>471</v>
      </c>
      <c r="C497" s="139" t="s">
        <v>1997</v>
      </c>
      <c r="D497" s="140">
        <f t="shared" ref="D497" si="199">SUM(D498:D502)</f>
        <v>0</v>
      </c>
      <c r="E497" s="140">
        <f t="shared" ref="E497" si="200">SUM(E498:E502)</f>
        <v>0</v>
      </c>
      <c r="F497" s="74" t="s">
        <v>2117</v>
      </c>
      <c r="G497" s="223"/>
      <c r="H497" s="110"/>
      <c r="J497" s="106"/>
    </row>
    <row r="498" spans="1:10" ht="18.75">
      <c r="A498" s="214"/>
      <c r="B498" s="111" t="s">
        <v>473</v>
      </c>
      <c r="C498" s="112" t="s">
        <v>1998</v>
      </c>
      <c r="D498" s="109">
        <f>+'Alimentazione CE Ricavi'!K239</f>
        <v>0</v>
      </c>
      <c r="E498" s="109">
        <f>+'Alimentazione CE Ricavi'!N239</f>
        <v>0</v>
      </c>
      <c r="F498" s="74"/>
      <c r="G498" s="223"/>
      <c r="H498" s="110"/>
      <c r="J498" s="106"/>
    </row>
    <row r="499" spans="1:10" ht="25.5">
      <c r="A499" s="214"/>
      <c r="B499" s="111" t="s">
        <v>475</v>
      </c>
      <c r="C499" s="112" t="s">
        <v>1999</v>
      </c>
      <c r="D499" s="109">
        <f>+'Alimentazione CE Ricavi'!K240</f>
        <v>0</v>
      </c>
      <c r="E499" s="109">
        <f>+'Alimentazione CE Ricavi'!N240</f>
        <v>0</v>
      </c>
      <c r="F499" s="74"/>
      <c r="G499" s="223"/>
      <c r="H499" s="110"/>
      <c r="J499" s="106"/>
    </row>
    <row r="500" spans="1:10" ht="25.5">
      <c r="A500" s="214"/>
      <c r="B500" s="111" t="s">
        <v>477</v>
      </c>
      <c r="C500" s="112" t="s">
        <v>2000</v>
      </c>
      <c r="D500" s="109">
        <f>+'Alimentazione CE Ricavi'!K241</f>
        <v>0</v>
      </c>
      <c r="E500" s="109">
        <f>+'Alimentazione CE Ricavi'!N241</f>
        <v>0</v>
      </c>
      <c r="F500" s="74"/>
      <c r="G500" s="223"/>
      <c r="H500" s="110"/>
      <c r="J500" s="106"/>
    </row>
    <row r="501" spans="1:10" ht="18.75">
      <c r="A501" s="214"/>
      <c r="B501" s="111" t="s">
        <v>479</v>
      </c>
      <c r="C501" s="112" t="s">
        <v>2001</v>
      </c>
      <c r="D501" s="109">
        <f>+'Alimentazione CE Ricavi'!K242</f>
        <v>0</v>
      </c>
      <c r="E501" s="109">
        <f>+'Alimentazione CE Ricavi'!N242</f>
        <v>0</v>
      </c>
      <c r="F501" s="74"/>
      <c r="G501" s="223"/>
      <c r="H501" s="110"/>
      <c r="J501" s="106"/>
    </row>
    <row r="502" spans="1:10" ht="18.75">
      <c r="A502" s="214"/>
      <c r="B502" s="111" t="s">
        <v>481</v>
      </c>
      <c r="C502" s="112" t="s">
        <v>2002</v>
      </c>
      <c r="D502" s="109">
        <f>+'Alimentazione CE Ricavi'!K243</f>
        <v>0</v>
      </c>
      <c r="E502" s="109">
        <f>+'Alimentazione CE Ricavi'!N243</f>
        <v>0</v>
      </c>
      <c r="F502" s="74"/>
      <c r="G502" s="223"/>
      <c r="H502" s="110"/>
      <c r="J502" s="106"/>
    </row>
    <row r="503" spans="1:10" ht="18.75">
      <c r="A503" s="214"/>
      <c r="B503" s="138" t="s">
        <v>1408</v>
      </c>
      <c r="C503" s="139" t="s">
        <v>2003</v>
      </c>
      <c r="D503" s="140">
        <f t="shared" ref="D503" si="201">SUM(D504:D506)</f>
        <v>5.6</v>
      </c>
      <c r="E503" s="140">
        <f t="shared" ref="E503" si="202">SUM(E504:E506)</f>
        <v>7.18</v>
      </c>
      <c r="F503" s="74" t="s">
        <v>2117</v>
      </c>
      <c r="G503" s="223"/>
      <c r="H503" s="110"/>
      <c r="J503" s="106"/>
    </row>
    <row r="504" spans="1:10" ht="18.75">
      <c r="A504" s="214"/>
      <c r="B504" s="111" t="s">
        <v>1410</v>
      </c>
      <c r="C504" s="112" t="s">
        <v>2004</v>
      </c>
      <c r="D504" s="109">
        <f>+'Alimentazione CE Costi'!K973</f>
        <v>0</v>
      </c>
      <c r="E504" s="109">
        <f>+'Alimentazione CE Costi'!N973</f>
        <v>0</v>
      </c>
      <c r="F504" s="74"/>
      <c r="G504" s="223"/>
      <c r="H504" s="110"/>
      <c r="J504" s="106"/>
    </row>
    <row r="505" spans="1:10" ht="18.75">
      <c r="A505" s="214"/>
      <c r="B505" s="111" t="s">
        <v>1412</v>
      </c>
      <c r="C505" s="112" t="s">
        <v>2005</v>
      </c>
      <c r="D505" s="109">
        <f>+'Alimentazione CE Costi'!K974</f>
        <v>0</v>
      </c>
      <c r="E505" s="109">
        <f>+'Alimentazione CE Costi'!N974</f>
        <v>0</v>
      </c>
      <c r="F505" s="74"/>
      <c r="G505" s="223"/>
      <c r="H505" s="110"/>
      <c r="J505" s="106"/>
    </row>
    <row r="506" spans="1:10" ht="18.75">
      <c r="A506" s="214"/>
      <c r="B506" s="111" t="s">
        <v>1414</v>
      </c>
      <c r="C506" s="112" t="s">
        <v>2006</v>
      </c>
      <c r="D506" s="109">
        <f>+'Alimentazione CE Costi'!K976+'Alimentazione CE Costi'!K977</f>
        <v>5.6</v>
      </c>
      <c r="E506" s="109">
        <f>+'Alimentazione CE Costi'!N976+'Alimentazione CE Costi'!N977</f>
        <v>7.18</v>
      </c>
      <c r="F506" s="74"/>
      <c r="G506" s="223"/>
      <c r="H506" s="110"/>
      <c r="J506" s="106"/>
    </row>
    <row r="507" spans="1:10" ht="18.75">
      <c r="A507" s="214"/>
      <c r="B507" s="138" t="s">
        <v>2007</v>
      </c>
      <c r="C507" s="139" t="s">
        <v>2008</v>
      </c>
      <c r="D507" s="140">
        <f t="shared" ref="D507" si="203">SUM(D508:D509)</f>
        <v>0</v>
      </c>
      <c r="E507" s="140">
        <f t="shared" ref="E507" si="204">SUM(E508:E509)</f>
        <v>0</v>
      </c>
      <c r="F507" s="74" t="s">
        <v>2117</v>
      </c>
      <c r="G507" s="223"/>
      <c r="H507" s="110"/>
      <c r="J507" s="106"/>
    </row>
    <row r="508" spans="1:10" ht="18.75">
      <c r="A508" s="214"/>
      <c r="B508" s="111" t="s">
        <v>1417</v>
      </c>
      <c r="C508" s="112" t="s">
        <v>2009</v>
      </c>
      <c r="D508" s="109">
        <f>+'Alimentazione CE Costi'!K979</f>
        <v>0</v>
      </c>
      <c r="E508" s="109">
        <f>+'Alimentazione CE Costi'!N979</f>
        <v>0</v>
      </c>
      <c r="F508" s="74"/>
      <c r="G508" s="223"/>
      <c r="H508" s="110"/>
      <c r="J508" s="106"/>
    </row>
    <row r="509" spans="1:10" ht="18.75">
      <c r="A509" s="214"/>
      <c r="B509" s="111" t="s">
        <v>1419</v>
      </c>
      <c r="C509" s="112" t="s">
        <v>2010</v>
      </c>
      <c r="D509" s="109">
        <f>+'Alimentazione CE Costi'!K980</f>
        <v>0</v>
      </c>
      <c r="E509" s="109">
        <f>+'Alimentazione CE Costi'!N980</f>
        <v>0</v>
      </c>
      <c r="F509" s="74"/>
      <c r="G509" s="223"/>
      <c r="H509" s="110"/>
      <c r="J509" s="106"/>
    </row>
    <row r="510" spans="1:10" ht="18.75">
      <c r="A510" s="214"/>
      <c r="B510" s="141" t="s">
        <v>2011</v>
      </c>
      <c r="C510" s="142" t="s">
        <v>2012</v>
      </c>
      <c r="D510" s="143">
        <f t="shared" ref="D510" si="205">+D493+D497-D503-D507</f>
        <v>835.59999999999991</v>
      </c>
      <c r="E510" s="143">
        <f t="shared" ref="E510" si="206">+E493+E497-E503-E507</f>
        <v>207.42000000000002</v>
      </c>
      <c r="F510" s="74" t="s">
        <v>2117</v>
      </c>
      <c r="G510" s="223"/>
      <c r="H510" s="110"/>
      <c r="J510" s="106"/>
    </row>
    <row r="511" spans="1:10" ht="18.75">
      <c r="A511" s="214"/>
      <c r="B511" s="154"/>
      <c r="C511" s="155" t="s">
        <v>2013</v>
      </c>
      <c r="D511" s="156"/>
      <c r="E511" s="156"/>
      <c r="F511" s="74"/>
      <c r="G511" s="223"/>
      <c r="H511" s="110"/>
      <c r="J511" s="106"/>
    </row>
    <row r="512" spans="1:10" ht="18.75">
      <c r="A512" s="214"/>
      <c r="B512" s="107" t="s">
        <v>483</v>
      </c>
      <c r="C512" s="108" t="s">
        <v>2014</v>
      </c>
      <c r="D512" s="109">
        <f>+'Alimentazione CE Ricavi'!K244</f>
        <v>0</v>
      </c>
      <c r="E512" s="109">
        <f>+'Alimentazione CE Ricavi'!N244</f>
        <v>0</v>
      </c>
      <c r="F512" s="74"/>
      <c r="G512" s="223"/>
      <c r="H512" s="110"/>
      <c r="J512" s="106"/>
    </row>
    <row r="513" spans="1:10" ht="18.75">
      <c r="A513" s="214"/>
      <c r="B513" s="107" t="s">
        <v>1421</v>
      </c>
      <c r="C513" s="108" t="s">
        <v>2015</v>
      </c>
      <c r="D513" s="109">
        <f>+'Alimentazione CE Costi'!K981</f>
        <v>0</v>
      </c>
      <c r="E513" s="109">
        <f>+'Alimentazione CE Costi'!N981</f>
        <v>0</v>
      </c>
      <c r="F513" s="74"/>
      <c r="G513" s="223"/>
      <c r="H513" s="110"/>
      <c r="J513" s="106"/>
    </row>
    <row r="514" spans="1:10" ht="18.75">
      <c r="A514" s="214"/>
      <c r="B514" s="141" t="s">
        <v>2016</v>
      </c>
      <c r="C514" s="142" t="s">
        <v>2017</v>
      </c>
      <c r="D514" s="143">
        <f t="shared" ref="D514" si="207">+D512-D513</f>
        <v>0</v>
      </c>
      <c r="E514" s="143">
        <f t="shared" ref="E514" si="208">+E512-E513</f>
        <v>0</v>
      </c>
      <c r="F514" s="74" t="s">
        <v>2117</v>
      </c>
      <c r="G514" s="223"/>
      <c r="H514" s="110"/>
      <c r="J514" s="106"/>
    </row>
    <row r="515" spans="1:10" ht="18.75">
      <c r="A515" s="214"/>
      <c r="B515" s="154"/>
      <c r="C515" s="155" t="s">
        <v>2018</v>
      </c>
      <c r="D515" s="156"/>
      <c r="E515" s="156"/>
      <c r="F515" s="74"/>
      <c r="G515" s="223"/>
      <c r="H515" s="110"/>
      <c r="J515" s="106"/>
    </row>
    <row r="516" spans="1:10" ht="18.75">
      <c r="A516" s="214"/>
      <c r="B516" s="138" t="s">
        <v>484</v>
      </c>
      <c r="C516" s="139" t="s">
        <v>2019</v>
      </c>
      <c r="D516" s="140">
        <f t="shared" ref="D516" si="209">+D517+D518</f>
        <v>482568.29999999993</v>
      </c>
      <c r="E516" s="140">
        <f t="shared" ref="E516" si="210">+E517+E518</f>
        <v>1708282.59</v>
      </c>
      <c r="F516" s="74" t="s">
        <v>2117</v>
      </c>
      <c r="G516" s="223"/>
      <c r="H516" s="110"/>
      <c r="J516" s="106"/>
    </row>
    <row r="517" spans="1:10" ht="18.75">
      <c r="A517" s="214"/>
      <c r="B517" s="111" t="s">
        <v>486</v>
      </c>
      <c r="C517" s="112" t="s">
        <v>2020</v>
      </c>
      <c r="D517" s="109">
        <f>+'Alimentazione CE Ricavi'!K246</f>
        <v>0</v>
      </c>
      <c r="E517" s="109">
        <f>+'Alimentazione CE Ricavi'!N246</f>
        <v>0</v>
      </c>
      <c r="F517" s="74"/>
      <c r="G517" s="223"/>
      <c r="H517" s="110"/>
      <c r="J517" s="106"/>
    </row>
    <row r="518" spans="1:10" ht="18.75">
      <c r="A518" s="214"/>
      <c r="B518" s="133" t="s">
        <v>488</v>
      </c>
      <c r="C518" s="134" t="s">
        <v>2021</v>
      </c>
      <c r="D518" s="132">
        <f t="shared" ref="D518" si="211">+D519+D520+D531+D541</f>
        <v>482568.29999999993</v>
      </c>
      <c r="E518" s="132">
        <f t="shared" ref="E518" si="212">+E519+E520+E531+E541</f>
        <v>1708282.59</v>
      </c>
      <c r="F518" s="74" t="s">
        <v>2117</v>
      </c>
      <c r="G518" s="223"/>
      <c r="H518" s="110"/>
      <c r="J518" s="106"/>
    </row>
    <row r="519" spans="1:10" ht="18.75">
      <c r="A519" s="214"/>
      <c r="B519" s="113" t="s">
        <v>490</v>
      </c>
      <c r="C519" s="114" t="s">
        <v>2022</v>
      </c>
      <c r="D519" s="109">
        <f>+'Alimentazione CE Ricavi'!K248</f>
        <v>53415.07</v>
      </c>
      <c r="E519" s="109">
        <f>+'Alimentazione CE Ricavi'!N248</f>
        <v>39257.15</v>
      </c>
      <c r="F519" s="74"/>
      <c r="G519" s="223"/>
      <c r="H519" s="110"/>
      <c r="J519" s="106"/>
    </row>
    <row r="520" spans="1:10" ht="18.75">
      <c r="A520" s="214"/>
      <c r="B520" s="144" t="s">
        <v>492</v>
      </c>
      <c r="C520" s="145" t="s">
        <v>2023</v>
      </c>
      <c r="D520" s="146">
        <f t="shared" ref="D520" si="213">+D521+D522+D523</f>
        <v>370854.41</v>
      </c>
      <c r="E520" s="146">
        <f t="shared" ref="E520" si="214">+E521+E522+E523</f>
        <v>469473.89</v>
      </c>
      <c r="F520" s="74" t="s">
        <v>2117</v>
      </c>
      <c r="G520" s="223"/>
      <c r="H520" s="110"/>
      <c r="J520" s="106"/>
    </row>
    <row r="521" spans="1:10" ht="18.75">
      <c r="A521" s="216"/>
      <c r="B521" s="113" t="s">
        <v>494</v>
      </c>
      <c r="C521" s="114" t="s">
        <v>2024</v>
      </c>
      <c r="D521" s="109">
        <f>+'Alimentazione CE Ricavi'!K250</f>
        <v>5120.8</v>
      </c>
      <c r="E521" s="109">
        <f>+'Alimentazione CE Ricavi'!N250</f>
        <v>0</v>
      </c>
      <c r="F521" s="355"/>
      <c r="G521" s="223"/>
      <c r="H521" s="110"/>
      <c r="J521" s="106"/>
    </row>
    <row r="522" spans="1:10" ht="25.5">
      <c r="A522" s="216" t="s">
        <v>1529</v>
      </c>
      <c r="B522" s="113" t="s">
        <v>496</v>
      </c>
      <c r="C522" s="114" t="s">
        <v>2025</v>
      </c>
      <c r="D522" s="109">
        <f>+'Alimentazione CE Ricavi'!K251</f>
        <v>61905</v>
      </c>
      <c r="E522" s="109">
        <f>+'Alimentazione CE Ricavi'!N251</f>
        <v>327818.71999999997</v>
      </c>
      <c r="F522" s="355"/>
      <c r="G522" s="223"/>
      <c r="H522" s="110"/>
      <c r="J522" s="106"/>
    </row>
    <row r="523" spans="1:10" ht="18.75">
      <c r="A523" s="216"/>
      <c r="B523" s="150" t="s">
        <v>498</v>
      </c>
      <c r="C523" s="151" t="s">
        <v>2026</v>
      </c>
      <c r="D523" s="149">
        <f t="shared" ref="D523" si="215">SUM(D524:D530)</f>
        <v>303828.61</v>
      </c>
      <c r="E523" s="149">
        <f t="shared" ref="E523" si="216">SUM(E524:E530)</f>
        <v>141655.17000000001</v>
      </c>
      <c r="F523" s="74" t="s">
        <v>2117</v>
      </c>
      <c r="G523" s="223"/>
      <c r="H523" s="110"/>
      <c r="J523" s="106"/>
    </row>
    <row r="524" spans="1:10" ht="25.5">
      <c r="A524" s="216" t="s">
        <v>1574</v>
      </c>
      <c r="B524" s="115" t="s">
        <v>500</v>
      </c>
      <c r="C524" s="116" t="s">
        <v>2027</v>
      </c>
      <c r="D524" s="109">
        <f>+'Alimentazione CE Ricavi'!K253</f>
        <v>0</v>
      </c>
      <c r="E524" s="109">
        <f>+'Alimentazione CE Ricavi'!N253</f>
        <v>0</v>
      </c>
      <c r="F524" s="355"/>
      <c r="G524" s="223"/>
      <c r="H524" s="110"/>
      <c r="J524" s="106"/>
    </row>
    <row r="525" spans="1:10" ht="25.5">
      <c r="A525" s="216"/>
      <c r="B525" s="115" t="s">
        <v>502</v>
      </c>
      <c r="C525" s="116" t="s">
        <v>2028</v>
      </c>
      <c r="D525" s="109">
        <f>+'Alimentazione CE Ricavi'!K254</f>
        <v>125836.7</v>
      </c>
      <c r="E525" s="109">
        <f>+'Alimentazione CE Ricavi'!N254</f>
        <v>681.22</v>
      </c>
      <c r="F525" s="355"/>
      <c r="G525" s="223"/>
      <c r="H525" s="110"/>
      <c r="J525" s="106"/>
    </row>
    <row r="526" spans="1:10" ht="25.5">
      <c r="A526" s="216"/>
      <c r="B526" s="115" t="s">
        <v>504</v>
      </c>
      <c r="C526" s="116" t="s">
        <v>2029</v>
      </c>
      <c r="D526" s="109">
        <f>+'Alimentazione CE Ricavi'!K255</f>
        <v>0</v>
      </c>
      <c r="E526" s="109">
        <f>+'Alimentazione CE Ricavi'!N255</f>
        <v>0</v>
      </c>
      <c r="F526" s="355"/>
      <c r="G526" s="223"/>
      <c r="H526" s="110"/>
      <c r="J526" s="106"/>
    </row>
    <row r="527" spans="1:10" ht="25.5">
      <c r="A527" s="216"/>
      <c r="B527" s="115" t="s">
        <v>506</v>
      </c>
      <c r="C527" s="116" t="s">
        <v>2030</v>
      </c>
      <c r="D527" s="109">
        <f>+'Alimentazione CE Ricavi'!K256</f>
        <v>0</v>
      </c>
      <c r="E527" s="109">
        <f>+'Alimentazione CE Ricavi'!N256</f>
        <v>0</v>
      </c>
      <c r="F527" s="355"/>
      <c r="G527" s="223"/>
      <c r="H527" s="110"/>
      <c r="J527" s="106"/>
    </row>
    <row r="528" spans="1:10" ht="25.5">
      <c r="A528" s="216"/>
      <c r="B528" s="115" t="s">
        <v>508</v>
      </c>
      <c r="C528" s="116" t="s">
        <v>2031</v>
      </c>
      <c r="D528" s="109">
        <f>+'Alimentazione CE Ricavi'!K257</f>
        <v>0</v>
      </c>
      <c r="E528" s="109">
        <f>+'Alimentazione CE Ricavi'!N257</f>
        <v>0</v>
      </c>
      <c r="F528" s="355"/>
      <c r="G528" s="223"/>
      <c r="H528" s="110"/>
      <c r="J528" s="106"/>
    </row>
    <row r="529" spans="1:10" ht="25.5">
      <c r="A529" s="216"/>
      <c r="B529" s="115" t="s">
        <v>510</v>
      </c>
      <c r="C529" s="116" t="s">
        <v>2032</v>
      </c>
      <c r="D529" s="109">
        <f>+'Alimentazione CE Ricavi'!K258</f>
        <v>74344.62</v>
      </c>
      <c r="E529" s="109">
        <f>+'Alimentazione CE Ricavi'!N258</f>
        <v>42978.6</v>
      </c>
      <c r="F529" s="355"/>
      <c r="G529" s="223"/>
      <c r="H529" s="110"/>
      <c r="J529" s="106"/>
    </row>
    <row r="530" spans="1:10" ht="18.75">
      <c r="A530" s="216"/>
      <c r="B530" s="115" t="s">
        <v>512</v>
      </c>
      <c r="C530" s="116" t="s">
        <v>2033</v>
      </c>
      <c r="D530" s="109">
        <f>+'Alimentazione CE Ricavi'!K259</f>
        <v>103647.29</v>
      </c>
      <c r="E530" s="109">
        <f>+'Alimentazione CE Ricavi'!N259</f>
        <v>97995.35</v>
      </c>
      <c r="F530" s="355"/>
      <c r="G530" s="223"/>
      <c r="H530" s="110"/>
      <c r="J530" s="106"/>
    </row>
    <row r="531" spans="1:10" ht="18.75">
      <c r="A531" s="216"/>
      <c r="B531" s="144" t="s">
        <v>2034</v>
      </c>
      <c r="C531" s="145" t="s">
        <v>2035</v>
      </c>
      <c r="D531" s="146">
        <f t="shared" ref="D531" si="217">+D532+D533</f>
        <v>58277.97</v>
      </c>
      <c r="E531" s="146">
        <f t="shared" ref="E531" si="218">+E532+E533</f>
        <v>1199353.74</v>
      </c>
      <c r="F531" s="74" t="s">
        <v>2117</v>
      </c>
      <c r="G531" s="223"/>
      <c r="H531" s="110"/>
      <c r="J531" s="106"/>
    </row>
    <row r="532" spans="1:10" ht="25.5">
      <c r="A532" s="214" t="s">
        <v>1529</v>
      </c>
      <c r="B532" s="113" t="s">
        <v>515</v>
      </c>
      <c r="C532" s="114" t="s">
        <v>2036</v>
      </c>
      <c r="D532" s="109">
        <f>+'Alimentazione CE Ricavi'!K261</f>
        <v>35787.18</v>
      </c>
      <c r="E532" s="109">
        <f>+'Alimentazione CE Ricavi'!N261</f>
        <v>294680.05</v>
      </c>
      <c r="F532" s="74"/>
      <c r="G532" s="223"/>
      <c r="H532" s="110"/>
      <c r="J532" s="106"/>
    </row>
    <row r="533" spans="1:10" ht="18.75">
      <c r="A533" s="214"/>
      <c r="B533" s="150" t="s">
        <v>2037</v>
      </c>
      <c r="C533" s="151" t="s">
        <v>2038</v>
      </c>
      <c r="D533" s="149">
        <f t="shared" ref="D533" si="219">SUM(D534:D540)</f>
        <v>22490.789999999997</v>
      </c>
      <c r="E533" s="149">
        <f t="shared" ref="E533" si="220">SUM(E534:E540)</f>
        <v>904673.69000000006</v>
      </c>
      <c r="F533" s="74" t="s">
        <v>2117</v>
      </c>
      <c r="G533" s="223"/>
      <c r="H533" s="110"/>
      <c r="J533" s="106"/>
    </row>
    <row r="534" spans="1:10" ht="25.5">
      <c r="A534" s="214" t="s">
        <v>1574</v>
      </c>
      <c r="B534" s="115" t="s">
        <v>518</v>
      </c>
      <c r="C534" s="116" t="s">
        <v>2039</v>
      </c>
      <c r="D534" s="109">
        <f>+'Alimentazione CE Ricavi'!K263</f>
        <v>0</v>
      </c>
      <c r="E534" s="109">
        <f>+'Alimentazione CE Ricavi'!N263</f>
        <v>0</v>
      </c>
      <c r="F534" s="74"/>
      <c r="G534" s="223"/>
      <c r="H534" s="110"/>
      <c r="J534" s="106"/>
    </row>
    <row r="535" spans="1:10" ht="18.75">
      <c r="A535" s="214"/>
      <c r="B535" s="115" t="s">
        <v>520</v>
      </c>
      <c r="C535" s="116" t="s">
        <v>2040</v>
      </c>
      <c r="D535" s="109">
        <f>+'Alimentazione CE Ricavi'!K264</f>
        <v>934.76</v>
      </c>
      <c r="E535" s="109">
        <f>+'Alimentazione CE Ricavi'!N264</f>
        <v>349.74</v>
      </c>
      <c r="F535" s="74"/>
      <c r="G535" s="223"/>
      <c r="H535" s="110"/>
      <c r="J535" s="106"/>
    </row>
    <row r="536" spans="1:10" ht="25.5">
      <c r="A536" s="214"/>
      <c r="B536" s="115" t="s">
        <v>522</v>
      </c>
      <c r="C536" s="116" t="s">
        <v>2041</v>
      </c>
      <c r="D536" s="109">
        <f>+'Alimentazione CE Ricavi'!K265</f>
        <v>0</v>
      </c>
      <c r="E536" s="109">
        <f>+'Alimentazione CE Ricavi'!N265</f>
        <v>0</v>
      </c>
      <c r="F536" s="74"/>
      <c r="G536" s="223"/>
      <c r="H536" s="110"/>
      <c r="J536" s="106"/>
    </row>
    <row r="537" spans="1:10" ht="25.5">
      <c r="A537" s="214"/>
      <c r="B537" s="115" t="s">
        <v>524</v>
      </c>
      <c r="C537" s="116" t="s">
        <v>2042</v>
      </c>
      <c r="D537" s="109">
        <f>+'Alimentazione CE Ricavi'!K266</f>
        <v>0</v>
      </c>
      <c r="E537" s="109">
        <f>+'Alimentazione CE Ricavi'!N266</f>
        <v>0</v>
      </c>
      <c r="F537" s="74"/>
      <c r="G537" s="223"/>
      <c r="H537" s="110"/>
      <c r="J537" s="106"/>
    </row>
    <row r="538" spans="1:10" ht="25.5">
      <c r="A538" s="214"/>
      <c r="B538" s="115" t="s">
        <v>526</v>
      </c>
      <c r="C538" s="116" t="s">
        <v>2043</v>
      </c>
      <c r="D538" s="109">
        <f>+'Alimentazione CE Ricavi'!K267</f>
        <v>0</v>
      </c>
      <c r="E538" s="109">
        <f>+'Alimentazione CE Ricavi'!N267</f>
        <v>0</v>
      </c>
      <c r="F538" s="74"/>
      <c r="G538" s="223"/>
      <c r="H538" s="110"/>
      <c r="J538" s="106"/>
    </row>
    <row r="539" spans="1:10" ht="25.5">
      <c r="A539" s="214"/>
      <c r="B539" s="115" t="s">
        <v>528</v>
      </c>
      <c r="C539" s="116" t="s">
        <v>2044</v>
      </c>
      <c r="D539" s="109">
        <f>+'Alimentazione CE Ricavi'!K268</f>
        <v>0</v>
      </c>
      <c r="E539" s="109">
        <f>+'Alimentazione CE Ricavi'!N268</f>
        <v>1221.8</v>
      </c>
      <c r="F539" s="74"/>
      <c r="G539" s="223"/>
      <c r="H539" s="110"/>
      <c r="J539" s="106"/>
    </row>
    <row r="540" spans="1:10" ht="18.75">
      <c r="A540" s="214"/>
      <c r="B540" s="115" t="s">
        <v>530</v>
      </c>
      <c r="C540" s="116" t="s">
        <v>2045</v>
      </c>
      <c r="D540" s="109">
        <f>+'Alimentazione CE Ricavi'!K269</f>
        <v>21556.03</v>
      </c>
      <c r="E540" s="109">
        <f>+'Alimentazione CE Ricavi'!N269</f>
        <v>903102.15</v>
      </c>
      <c r="F540" s="74"/>
      <c r="G540" s="223"/>
      <c r="H540" s="110"/>
      <c r="J540" s="106"/>
    </row>
    <row r="541" spans="1:10" ht="18.75">
      <c r="A541" s="214"/>
      <c r="B541" s="113" t="s">
        <v>531</v>
      </c>
      <c r="C541" s="114" t="s">
        <v>2046</v>
      </c>
      <c r="D541" s="109">
        <f>+'Alimentazione CE Ricavi'!K270</f>
        <v>20.85</v>
      </c>
      <c r="E541" s="109">
        <f>+'Alimentazione CE Ricavi'!N270</f>
        <v>197.81</v>
      </c>
      <c r="F541" s="74"/>
      <c r="G541" s="223"/>
      <c r="H541" s="110"/>
      <c r="J541" s="106"/>
    </row>
    <row r="542" spans="1:10" ht="18.75">
      <c r="A542" s="214"/>
      <c r="B542" s="138" t="s">
        <v>1422</v>
      </c>
      <c r="C542" s="139" t="s">
        <v>2047</v>
      </c>
      <c r="D542" s="140">
        <f t="shared" ref="D542" si="221">+D543+D544</f>
        <v>986777.71000000008</v>
      </c>
      <c r="E542" s="140">
        <f t="shared" ref="E542" si="222">+E543+E544</f>
        <v>982516.85000000009</v>
      </c>
      <c r="F542" s="74"/>
      <c r="G542" s="223"/>
      <c r="H542" s="110"/>
      <c r="J542" s="106"/>
    </row>
    <row r="543" spans="1:10" ht="18.75">
      <c r="A543" s="214"/>
      <c r="B543" s="111" t="s">
        <v>1424</v>
      </c>
      <c r="C543" s="112" t="s">
        <v>2048</v>
      </c>
      <c r="D543" s="109">
        <f>+'Alimentazione CE Costi'!K983</f>
        <v>6741.52</v>
      </c>
      <c r="E543" s="109">
        <f>+'Alimentazione CE Costi'!N983</f>
        <v>2359.48</v>
      </c>
      <c r="F543" s="74"/>
      <c r="G543" s="223"/>
      <c r="H543" s="110"/>
      <c r="J543" s="106"/>
    </row>
    <row r="544" spans="1:10" ht="18.75">
      <c r="A544" s="214"/>
      <c r="B544" s="133" t="s">
        <v>1426</v>
      </c>
      <c r="C544" s="134" t="s">
        <v>2049</v>
      </c>
      <c r="D544" s="132">
        <f t="shared" ref="D544" si="223">+D545+D546+D547+D562+D573</f>
        <v>980036.19000000006</v>
      </c>
      <c r="E544" s="132">
        <f t="shared" ref="E544" si="224">+E545+E546+E547+E562+E573</f>
        <v>980157.37000000011</v>
      </c>
      <c r="F544" s="74"/>
      <c r="G544" s="223"/>
      <c r="H544" s="110"/>
      <c r="J544" s="106"/>
    </row>
    <row r="545" spans="1:10" ht="18.75">
      <c r="A545" s="214"/>
      <c r="B545" s="113" t="s">
        <v>1428</v>
      </c>
      <c r="C545" s="114" t="s">
        <v>2050</v>
      </c>
      <c r="D545" s="109">
        <f>+'Alimentazione CE Costi'!K985</f>
        <v>0</v>
      </c>
      <c r="E545" s="109">
        <f>+'Alimentazione CE Costi'!N985</f>
        <v>0</v>
      </c>
      <c r="F545" s="74"/>
      <c r="G545" s="223"/>
      <c r="H545" s="110"/>
      <c r="J545" s="106"/>
    </row>
    <row r="546" spans="1:10" ht="18.75">
      <c r="A546" s="214"/>
      <c r="B546" s="113" t="s">
        <v>1430</v>
      </c>
      <c r="C546" s="114" t="s">
        <v>2051</v>
      </c>
      <c r="D546" s="109">
        <f>+'Alimentazione CE Costi'!K986</f>
        <v>0</v>
      </c>
      <c r="E546" s="109">
        <f>+'Alimentazione CE Costi'!N986</f>
        <v>0</v>
      </c>
      <c r="F546" s="74"/>
      <c r="G546" s="223"/>
      <c r="H546" s="110"/>
      <c r="J546" s="106"/>
    </row>
    <row r="547" spans="1:10" ht="18.75">
      <c r="A547" s="214"/>
      <c r="B547" s="144" t="s">
        <v>1432</v>
      </c>
      <c r="C547" s="145" t="s">
        <v>2052</v>
      </c>
      <c r="D547" s="146">
        <f t="shared" ref="D547" si="225">+D548+D551</f>
        <v>591253.68000000005</v>
      </c>
      <c r="E547" s="146">
        <f t="shared" ref="E547" si="226">+E548+E551</f>
        <v>722063.76</v>
      </c>
      <c r="F547" s="74"/>
      <c r="G547" s="223"/>
      <c r="H547" s="110"/>
      <c r="J547" s="106"/>
    </row>
    <row r="548" spans="1:10" ht="25.5">
      <c r="A548" s="214" t="s">
        <v>1529</v>
      </c>
      <c r="B548" s="150" t="s">
        <v>1434</v>
      </c>
      <c r="C548" s="151" t="s">
        <v>2053</v>
      </c>
      <c r="D548" s="149">
        <f t="shared" ref="D548" si="227">+D549+D550</f>
        <v>78846.48</v>
      </c>
      <c r="E548" s="149">
        <f t="shared" ref="E548" si="228">+E549+E550</f>
        <v>40638.69</v>
      </c>
      <c r="F548" s="74"/>
      <c r="G548" s="223"/>
      <c r="H548" s="110"/>
      <c r="J548" s="106"/>
    </row>
    <row r="549" spans="1:10" ht="25.5">
      <c r="A549" s="214" t="s">
        <v>1529</v>
      </c>
      <c r="B549" s="115" t="s">
        <v>1436</v>
      </c>
      <c r="C549" s="116" t="s">
        <v>2054</v>
      </c>
      <c r="D549" s="109">
        <f>+'Alimentazione CE Costi'!K989</f>
        <v>0</v>
      </c>
      <c r="E549" s="109">
        <f>+'Alimentazione CE Costi'!N989</f>
        <v>0</v>
      </c>
      <c r="F549" s="74"/>
      <c r="G549" s="223"/>
      <c r="H549" s="110"/>
      <c r="J549" s="106"/>
    </row>
    <row r="550" spans="1:10" ht="25.5">
      <c r="A550" s="214" t="s">
        <v>1529</v>
      </c>
      <c r="B550" s="115" t="s">
        <v>1438</v>
      </c>
      <c r="C550" s="116" t="s">
        <v>2055</v>
      </c>
      <c r="D550" s="109">
        <f>+'Alimentazione CE Costi'!K990</f>
        <v>78846.48</v>
      </c>
      <c r="E550" s="109">
        <f>+'Alimentazione CE Costi'!N990</f>
        <v>40638.69</v>
      </c>
      <c r="F550" s="74"/>
      <c r="G550" s="223"/>
      <c r="H550" s="110"/>
      <c r="J550" s="106"/>
    </row>
    <row r="551" spans="1:10" ht="18.75">
      <c r="A551" s="214"/>
      <c r="B551" s="150" t="s">
        <v>1440</v>
      </c>
      <c r="C551" s="151" t="s">
        <v>2056</v>
      </c>
      <c r="D551" s="149">
        <f t="shared" ref="D551" si="229">+D552+D553+D557+D558+D559+D560+D561</f>
        <v>512407.2</v>
      </c>
      <c r="E551" s="149">
        <f t="shared" ref="E551" si="230">+E552+E553+E557+E558+E559+E560+E561</f>
        <v>681425.07000000007</v>
      </c>
      <c r="F551" s="74"/>
      <c r="G551" s="223"/>
      <c r="H551" s="110"/>
      <c r="J551" s="106"/>
    </row>
    <row r="552" spans="1:10" ht="25.5">
      <c r="A552" s="214" t="s">
        <v>1574</v>
      </c>
      <c r="B552" s="115" t="s">
        <v>1442</v>
      </c>
      <c r="C552" s="116" t="s">
        <v>2057</v>
      </c>
      <c r="D552" s="109">
        <f>+'Alimentazione CE Costi'!K992</f>
        <v>0</v>
      </c>
      <c r="E552" s="109">
        <f>+'Alimentazione CE Costi'!N992</f>
        <v>0</v>
      </c>
      <c r="F552" s="74"/>
      <c r="G552" s="223"/>
      <c r="H552" s="110"/>
      <c r="J552" s="106"/>
    </row>
    <row r="553" spans="1:10" ht="25.5">
      <c r="A553" s="214"/>
      <c r="B553" s="166" t="s">
        <v>1444</v>
      </c>
      <c r="C553" s="167" t="s">
        <v>2058</v>
      </c>
      <c r="D553" s="168">
        <f t="shared" ref="D553" si="231">+D554+D555+D556</f>
        <v>438830.58999999997</v>
      </c>
      <c r="E553" s="168">
        <f t="shared" ref="E553" si="232">+E554+E555+E556</f>
        <v>603973.4</v>
      </c>
      <c r="F553" s="74"/>
      <c r="G553" s="223"/>
      <c r="H553" s="110"/>
      <c r="J553" s="106"/>
    </row>
    <row r="554" spans="1:10" ht="25.5">
      <c r="A554" s="214"/>
      <c r="B554" s="113" t="s">
        <v>1446</v>
      </c>
      <c r="C554" s="114" t="s">
        <v>2059</v>
      </c>
      <c r="D554" s="109">
        <f>+'Alimentazione CE Costi'!K994</f>
        <v>238901.72</v>
      </c>
      <c r="E554" s="109">
        <f>+'Alimentazione CE Costi'!N994</f>
        <v>224830.35</v>
      </c>
      <c r="F554" s="74"/>
      <c r="G554" s="223"/>
      <c r="H554" s="110"/>
      <c r="J554" s="106"/>
    </row>
    <row r="555" spans="1:10" ht="25.5">
      <c r="A555" s="214"/>
      <c r="B555" s="113" t="s">
        <v>1448</v>
      </c>
      <c r="C555" s="114" t="s">
        <v>2060</v>
      </c>
      <c r="D555" s="109">
        <f>+'Alimentazione CE Costi'!K995</f>
        <v>9970.24</v>
      </c>
      <c r="E555" s="109">
        <f>+'Alimentazione CE Costi'!N995</f>
        <v>0</v>
      </c>
      <c r="F555" s="74"/>
      <c r="G555" s="223"/>
      <c r="H555" s="110"/>
      <c r="J555" s="106"/>
    </row>
    <row r="556" spans="1:10" ht="25.5">
      <c r="A556" s="214"/>
      <c r="B556" s="113" t="s">
        <v>1450</v>
      </c>
      <c r="C556" s="114" t="s">
        <v>2061</v>
      </c>
      <c r="D556" s="109">
        <f>+'Alimentazione CE Costi'!K996</f>
        <v>189958.63</v>
      </c>
      <c r="E556" s="109">
        <f>+'Alimentazione CE Costi'!N996</f>
        <v>379143.05</v>
      </c>
      <c r="F556" s="74"/>
      <c r="G556" s="223"/>
      <c r="H556" s="110"/>
      <c r="J556" s="106"/>
    </row>
    <row r="557" spans="1:10" ht="25.5">
      <c r="A557" s="214"/>
      <c r="B557" s="115" t="s">
        <v>1452</v>
      </c>
      <c r="C557" s="116" t="s">
        <v>2062</v>
      </c>
      <c r="D557" s="109">
        <f>+'Alimentazione CE Costi'!K997</f>
        <v>0</v>
      </c>
      <c r="E557" s="109">
        <f>+'Alimentazione CE Costi'!N997</f>
        <v>0</v>
      </c>
      <c r="F557" s="74"/>
      <c r="G557" s="223"/>
      <c r="H557" s="110"/>
      <c r="J557" s="106"/>
    </row>
    <row r="558" spans="1:10" ht="25.5">
      <c r="A558" s="214"/>
      <c r="B558" s="115" t="s">
        <v>1454</v>
      </c>
      <c r="C558" s="116" t="s">
        <v>2063</v>
      </c>
      <c r="D558" s="109">
        <f>+'Alimentazione CE Costi'!K998</f>
        <v>0</v>
      </c>
      <c r="E558" s="109">
        <f>+'Alimentazione CE Costi'!N998</f>
        <v>0</v>
      </c>
      <c r="F558" s="74"/>
      <c r="G558" s="223"/>
      <c r="H558" s="110"/>
      <c r="J558" s="106"/>
    </row>
    <row r="559" spans="1:10" ht="25.5">
      <c r="A559" s="214"/>
      <c r="B559" s="115" t="s">
        <v>1456</v>
      </c>
      <c r="C559" s="116" t="s">
        <v>2064</v>
      </c>
      <c r="D559" s="109">
        <f>+'Alimentazione CE Costi'!K999</f>
        <v>0</v>
      </c>
      <c r="E559" s="109">
        <f>+'Alimentazione CE Costi'!N999</f>
        <v>0</v>
      </c>
      <c r="F559" s="74"/>
      <c r="G559" s="223"/>
      <c r="H559" s="110"/>
      <c r="J559" s="106"/>
    </row>
    <row r="560" spans="1:10" ht="25.5">
      <c r="A560" s="214"/>
      <c r="B560" s="115" t="s">
        <v>1458</v>
      </c>
      <c r="C560" s="116" t="s">
        <v>2065</v>
      </c>
      <c r="D560" s="109">
        <f>+'Alimentazione CE Costi'!K1000</f>
        <v>68818.02</v>
      </c>
      <c r="E560" s="109">
        <f>+'Alimentazione CE Costi'!N1000</f>
        <v>63258.65</v>
      </c>
      <c r="F560" s="74"/>
      <c r="G560" s="223"/>
      <c r="H560" s="110"/>
      <c r="J560" s="106"/>
    </row>
    <row r="561" spans="1:10" ht="18.75">
      <c r="A561" s="214"/>
      <c r="B561" s="115" t="s">
        <v>1460</v>
      </c>
      <c r="C561" s="116" t="s">
        <v>2066</v>
      </c>
      <c r="D561" s="109">
        <f>+'Alimentazione CE Costi'!K1001</f>
        <v>4758.59</v>
      </c>
      <c r="E561" s="109">
        <f>+'Alimentazione CE Costi'!N1001</f>
        <v>14193.02</v>
      </c>
      <c r="F561" s="74"/>
      <c r="G561" s="223"/>
      <c r="H561" s="110"/>
      <c r="J561" s="106"/>
    </row>
    <row r="562" spans="1:10" ht="18.75">
      <c r="A562" s="214"/>
      <c r="B562" s="144" t="s">
        <v>1462</v>
      </c>
      <c r="C562" s="145" t="s">
        <v>2067</v>
      </c>
      <c r="D562" s="146">
        <f t="shared" ref="D562" si="233">+D563+D564+D565</f>
        <v>388614.92</v>
      </c>
      <c r="E562" s="146">
        <f t="shared" ref="E562" si="234">+E563+E564+E565</f>
        <v>257947.43000000002</v>
      </c>
      <c r="F562" s="74"/>
      <c r="G562" s="223"/>
      <c r="H562" s="110"/>
      <c r="J562" s="106"/>
    </row>
    <row r="563" spans="1:10" ht="18.75">
      <c r="A563" s="216"/>
      <c r="B563" s="113" t="s">
        <v>1464</v>
      </c>
      <c r="C563" s="114" t="s">
        <v>2068</v>
      </c>
      <c r="D563" s="109">
        <f>+'Alimentazione CE Costi'!K1003</f>
        <v>0</v>
      </c>
      <c r="E563" s="109">
        <f>+'Alimentazione CE Costi'!N1003</f>
        <v>0</v>
      </c>
      <c r="F563" s="355"/>
      <c r="G563" s="223"/>
      <c r="H563" s="110"/>
      <c r="J563" s="106"/>
    </row>
    <row r="564" spans="1:10" ht="25.5">
      <c r="A564" s="216" t="s">
        <v>1529</v>
      </c>
      <c r="B564" s="113" t="s">
        <v>1466</v>
      </c>
      <c r="C564" s="114" t="s">
        <v>2069</v>
      </c>
      <c r="D564" s="109">
        <f>+'Alimentazione CE Costi'!K1004</f>
        <v>0</v>
      </c>
      <c r="E564" s="109">
        <f>+'Alimentazione CE Costi'!N1004</f>
        <v>92893.57</v>
      </c>
      <c r="F564" s="355"/>
      <c r="G564" s="223"/>
      <c r="H564" s="110"/>
      <c r="J564" s="106"/>
    </row>
    <row r="565" spans="1:10" ht="18.75">
      <c r="A565" s="216"/>
      <c r="B565" s="150" t="s">
        <v>1468</v>
      </c>
      <c r="C565" s="151" t="s">
        <v>2070</v>
      </c>
      <c r="D565" s="149">
        <f t="shared" ref="D565" si="235">SUM(D566:D572)</f>
        <v>388614.92</v>
      </c>
      <c r="E565" s="149">
        <f t="shared" ref="E565" si="236">SUM(E566:E572)</f>
        <v>165053.86000000002</v>
      </c>
      <c r="F565" s="74"/>
      <c r="G565" s="223"/>
      <c r="H565" s="110"/>
      <c r="J565" s="106"/>
    </row>
    <row r="566" spans="1:10" ht="25.5">
      <c r="A566" s="216" t="s">
        <v>1574</v>
      </c>
      <c r="B566" s="115" t="s">
        <v>1470</v>
      </c>
      <c r="C566" s="116" t="s">
        <v>2071</v>
      </c>
      <c r="D566" s="109">
        <f>+'Alimentazione CE Costi'!K1006</f>
        <v>0</v>
      </c>
      <c r="E566" s="109">
        <f>+'Alimentazione CE Costi'!N1006</f>
        <v>0</v>
      </c>
      <c r="F566" s="355"/>
      <c r="G566" s="223"/>
      <c r="H566" s="110"/>
      <c r="J566" s="106"/>
    </row>
    <row r="567" spans="1:10" ht="25.5">
      <c r="A567" s="216"/>
      <c r="B567" s="115" t="s">
        <v>1472</v>
      </c>
      <c r="C567" s="116" t="s">
        <v>2072</v>
      </c>
      <c r="D567" s="109">
        <f>+'Alimentazione CE Costi'!K1007</f>
        <v>0</v>
      </c>
      <c r="E567" s="109">
        <f>+'Alimentazione CE Costi'!N1007</f>
        <v>0</v>
      </c>
      <c r="F567" s="355"/>
      <c r="G567" s="223"/>
      <c r="H567" s="110"/>
      <c r="J567" s="106"/>
    </row>
    <row r="568" spans="1:10" ht="25.5">
      <c r="A568" s="216"/>
      <c r="B568" s="115" t="s">
        <v>1474</v>
      </c>
      <c r="C568" s="116" t="s">
        <v>2073</v>
      </c>
      <c r="D568" s="109">
        <f>+'Alimentazione CE Costi'!K1008</f>
        <v>0</v>
      </c>
      <c r="E568" s="109">
        <f>+'Alimentazione CE Costi'!N1008</f>
        <v>0</v>
      </c>
      <c r="F568" s="355"/>
      <c r="G568" s="223"/>
      <c r="H568" s="110"/>
      <c r="J568" s="106"/>
    </row>
    <row r="569" spans="1:10" ht="25.5">
      <c r="A569" s="216"/>
      <c r="B569" s="115" t="s">
        <v>1476</v>
      </c>
      <c r="C569" s="116" t="s">
        <v>2074</v>
      </c>
      <c r="D569" s="109">
        <f>+'Alimentazione CE Costi'!K1009</f>
        <v>0</v>
      </c>
      <c r="E569" s="109">
        <f>+'Alimentazione CE Costi'!N1009</f>
        <v>0</v>
      </c>
      <c r="F569" s="355"/>
      <c r="G569" s="223"/>
      <c r="H569" s="110"/>
      <c r="J569" s="106"/>
    </row>
    <row r="570" spans="1:10" ht="25.5">
      <c r="A570" s="216"/>
      <c r="B570" s="115" t="s">
        <v>1478</v>
      </c>
      <c r="C570" s="116" t="s">
        <v>2075</v>
      </c>
      <c r="D570" s="109">
        <f>+'Alimentazione CE Costi'!K1010</f>
        <v>0</v>
      </c>
      <c r="E570" s="109">
        <f>+'Alimentazione CE Costi'!N1010</f>
        <v>0</v>
      </c>
      <c r="F570" s="355"/>
      <c r="G570" s="223"/>
      <c r="H570" s="110"/>
      <c r="J570" s="106"/>
    </row>
    <row r="571" spans="1:10" ht="25.5">
      <c r="A571" s="216"/>
      <c r="B571" s="115" t="s">
        <v>1480</v>
      </c>
      <c r="C571" s="116" t="s">
        <v>2076</v>
      </c>
      <c r="D571" s="109">
        <f>+'Alimentazione CE Costi'!K1011</f>
        <v>0</v>
      </c>
      <c r="E571" s="109">
        <f>+'Alimentazione CE Costi'!N1011</f>
        <v>211.23</v>
      </c>
      <c r="F571" s="355"/>
      <c r="G571" s="223"/>
      <c r="H571" s="110"/>
      <c r="J571" s="106"/>
    </row>
    <row r="572" spans="1:10" ht="18.75">
      <c r="A572" s="216"/>
      <c r="B572" s="115" t="s">
        <v>1482</v>
      </c>
      <c r="C572" s="116" t="s">
        <v>2077</v>
      </c>
      <c r="D572" s="109">
        <f>+'Alimentazione CE Costi'!K1012</f>
        <v>388614.92</v>
      </c>
      <c r="E572" s="109">
        <f>+'Alimentazione CE Costi'!N1012</f>
        <v>164842.63</v>
      </c>
      <c r="F572" s="355"/>
      <c r="G572" s="223"/>
      <c r="H572" s="110"/>
      <c r="J572" s="106"/>
    </row>
    <row r="573" spans="1:10" ht="18.75">
      <c r="A573" s="214"/>
      <c r="B573" s="113" t="s">
        <v>1483</v>
      </c>
      <c r="C573" s="114" t="s">
        <v>2078</v>
      </c>
      <c r="D573" s="109">
        <f>+'Alimentazione CE Costi'!K1013</f>
        <v>167.59</v>
      </c>
      <c r="E573" s="109">
        <f>+'Alimentazione CE Costi'!N1013</f>
        <v>146.18</v>
      </c>
      <c r="F573" s="74"/>
      <c r="G573" s="223"/>
      <c r="H573" s="124"/>
      <c r="J573" s="106"/>
    </row>
    <row r="574" spans="1:10" ht="18.75">
      <c r="A574" s="214"/>
      <c r="B574" s="141" t="s">
        <v>2079</v>
      </c>
      <c r="C574" s="142" t="s">
        <v>2080</v>
      </c>
      <c r="D574" s="143">
        <f t="shared" ref="D574" si="237">+D516-D542</f>
        <v>-504209.41000000015</v>
      </c>
      <c r="E574" s="143">
        <f t="shared" ref="E574" si="238">+E516-E542</f>
        <v>725765.74</v>
      </c>
      <c r="F574" s="74"/>
      <c r="G574" s="223"/>
      <c r="H574" s="124"/>
      <c r="J574" s="106"/>
    </row>
    <row r="575" spans="1:10" ht="25.5">
      <c r="A575" s="214"/>
      <c r="B575" s="107" t="s">
        <v>2081</v>
      </c>
      <c r="C575" s="108" t="s">
        <v>2082</v>
      </c>
      <c r="D575" s="109">
        <f>+D158-D491+D510+D514+D574</f>
        <v>3626849.589999991</v>
      </c>
      <c r="E575" s="109">
        <f>+E158-E491+E510+E514+E574</f>
        <v>3382212.5300000049</v>
      </c>
      <c r="F575" s="74"/>
      <c r="G575" s="223"/>
      <c r="H575" s="124"/>
      <c r="J575" s="106"/>
    </row>
    <row r="576" spans="1:10" ht="18.75">
      <c r="A576" s="216"/>
      <c r="B576" s="154"/>
      <c r="C576" s="155" t="s">
        <v>2083</v>
      </c>
      <c r="D576" s="156"/>
      <c r="E576" s="156"/>
      <c r="F576" s="355"/>
      <c r="G576" s="223"/>
      <c r="H576" s="125"/>
      <c r="J576" s="106"/>
    </row>
    <row r="577" spans="1:24" ht="18.75">
      <c r="A577" s="214"/>
      <c r="B577" s="138" t="s">
        <v>1484</v>
      </c>
      <c r="C577" s="139" t="s">
        <v>2084</v>
      </c>
      <c r="D577" s="140">
        <f t="shared" ref="D577" si="239">+D578+D579+D580+D581</f>
        <v>3593258.79</v>
      </c>
      <c r="E577" s="140">
        <f t="shared" ref="E577" si="240">+E578+E579+E580+E581</f>
        <v>3337087.81</v>
      </c>
      <c r="F577" s="74"/>
      <c r="G577" s="223"/>
      <c r="H577" s="126"/>
      <c r="J577" s="106"/>
    </row>
    <row r="578" spans="1:24" ht="18.75">
      <c r="A578" s="214"/>
      <c r="B578" s="111" t="s">
        <v>1486</v>
      </c>
      <c r="C578" s="112" t="s">
        <v>2085</v>
      </c>
      <c r="D578" s="109">
        <f>+'Alimentazione CE Costi'!K1015</f>
        <v>3277336.81</v>
      </c>
      <c r="E578" s="109">
        <f>+'Alimentazione CE Costi'!N1015</f>
        <v>3087720.78</v>
      </c>
      <c r="F578" s="74"/>
      <c r="G578" s="223"/>
      <c r="H578" s="125"/>
      <c r="J578" s="106"/>
    </row>
    <row r="579" spans="1:24" ht="25.5">
      <c r="A579" s="214"/>
      <c r="B579" s="111" t="s">
        <v>1488</v>
      </c>
      <c r="C579" s="112" t="s">
        <v>2086</v>
      </c>
      <c r="D579" s="109">
        <f>+'Alimentazione CE Costi'!K1016</f>
        <v>228259.54</v>
      </c>
      <c r="E579" s="109">
        <f>+'Alimentazione CE Costi'!N1016</f>
        <v>175770.37</v>
      </c>
      <c r="F579" s="74"/>
      <c r="G579" s="223"/>
      <c r="H579" s="124"/>
      <c r="J579" s="106"/>
    </row>
    <row r="580" spans="1:24" ht="25.5">
      <c r="A580" s="214"/>
      <c r="B580" s="111" t="s">
        <v>1490</v>
      </c>
      <c r="C580" s="112" t="s">
        <v>2087</v>
      </c>
      <c r="D580" s="109">
        <f>+'Alimentazione CE Costi'!K1017</f>
        <v>87662.44</v>
      </c>
      <c r="E580" s="109">
        <f>+'Alimentazione CE Costi'!N1017</f>
        <v>73596.66</v>
      </c>
      <c r="F580" s="74"/>
      <c r="G580" s="223"/>
      <c r="H580" s="125"/>
      <c r="J580" s="106"/>
    </row>
    <row r="581" spans="1:24" ht="18.75">
      <c r="A581" s="214"/>
      <c r="B581" s="111" t="s">
        <v>1492</v>
      </c>
      <c r="C581" s="112" t="s">
        <v>2088</v>
      </c>
      <c r="D581" s="109">
        <f>+'Alimentazione CE Costi'!K1018</f>
        <v>0</v>
      </c>
      <c r="E581" s="109">
        <f>+'Alimentazione CE Costi'!N1018</f>
        <v>0</v>
      </c>
      <c r="F581" s="74"/>
      <c r="G581" s="223"/>
      <c r="H581" s="125"/>
      <c r="J581" s="106"/>
    </row>
    <row r="582" spans="1:24" ht="18.75">
      <c r="A582" s="214"/>
      <c r="B582" s="138" t="s">
        <v>1493</v>
      </c>
      <c r="C582" s="139" t="s">
        <v>2089</v>
      </c>
      <c r="D582" s="140">
        <f t="shared" ref="D582" si="241">+D583+D584</f>
        <v>33590.800000000003</v>
      </c>
      <c r="E582" s="140">
        <f t="shared" ref="E582" si="242">+E583+E584</f>
        <v>29525</v>
      </c>
      <c r="F582" s="74"/>
      <c r="G582" s="223"/>
      <c r="H582" s="125"/>
      <c r="J582" s="106"/>
    </row>
    <row r="583" spans="1:24" ht="18.75">
      <c r="A583" s="214"/>
      <c r="B583" s="111" t="s">
        <v>1495</v>
      </c>
      <c r="C583" s="112" t="s">
        <v>2090</v>
      </c>
      <c r="D583" s="109">
        <f>+'Alimentazione CE Costi'!K1020</f>
        <v>33590.800000000003</v>
      </c>
      <c r="E583" s="109">
        <f>+'Alimentazione CE Costi'!N1020</f>
        <v>29525</v>
      </c>
      <c r="F583" s="74"/>
      <c r="G583" s="223"/>
      <c r="H583" s="126"/>
      <c r="J583" s="106"/>
    </row>
    <row r="584" spans="1:24" ht="18.75">
      <c r="A584" s="214"/>
      <c r="B584" s="111" t="s">
        <v>1497</v>
      </c>
      <c r="C584" s="112" t="s">
        <v>2091</v>
      </c>
      <c r="D584" s="109">
        <f>+'Alimentazione CE Costi'!K1021</f>
        <v>0</v>
      </c>
      <c r="E584" s="109">
        <f>+'Alimentazione CE Costi'!N1021</f>
        <v>0</v>
      </c>
      <c r="F584" s="74"/>
      <c r="G584" s="223"/>
      <c r="H584" s="125"/>
      <c r="J584" s="106"/>
      <c r="N584" s="124"/>
      <c r="O584" s="124"/>
      <c r="P584" s="124"/>
      <c r="Q584" s="124"/>
      <c r="R584" s="124"/>
      <c r="S584" s="124"/>
      <c r="T584" s="124"/>
      <c r="U584" s="124"/>
      <c r="V584" s="124"/>
      <c r="W584" s="124"/>
      <c r="X584" s="124"/>
    </row>
    <row r="585" spans="1:24" ht="25.5">
      <c r="A585" s="216"/>
      <c r="B585" s="107" t="s">
        <v>1499</v>
      </c>
      <c r="C585" s="108" t="s">
        <v>2092</v>
      </c>
      <c r="D585" s="109">
        <f>+'Alimentazione CE Costi'!K1022</f>
        <v>0</v>
      </c>
      <c r="E585" s="109">
        <f>+'Alimentazione CE Costi'!N1022</f>
        <v>0</v>
      </c>
      <c r="F585" s="355"/>
      <c r="G585" s="223"/>
      <c r="H585" s="127"/>
      <c r="J585" s="106"/>
      <c r="N585" s="124"/>
      <c r="O585" s="124"/>
      <c r="P585" s="124"/>
      <c r="Q585" s="124"/>
      <c r="R585" s="124"/>
      <c r="S585" s="124"/>
      <c r="T585" s="124"/>
      <c r="U585" s="124"/>
      <c r="V585" s="124"/>
      <c r="W585" s="124"/>
      <c r="X585" s="124"/>
    </row>
    <row r="586" spans="1:24" ht="18.75">
      <c r="A586" s="216"/>
      <c r="B586" s="141" t="s">
        <v>2093</v>
      </c>
      <c r="C586" s="142" t="s">
        <v>2094</v>
      </c>
      <c r="D586" s="143">
        <f t="shared" ref="D586" si="243">+D577+D582+D585</f>
        <v>3626849.59</v>
      </c>
      <c r="E586" s="143">
        <f t="shared" ref="E586" si="244">+E577+E582+E585</f>
        <v>3366612.81</v>
      </c>
      <c r="F586" s="74"/>
      <c r="G586" s="223"/>
      <c r="H586" s="128"/>
      <c r="J586" s="106"/>
      <c r="N586" s="124"/>
      <c r="O586" s="124"/>
      <c r="P586" s="124"/>
      <c r="Q586" s="124"/>
      <c r="R586" s="124"/>
      <c r="S586" s="124"/>
      <c r="T586" s="124"/>
      <c r="U586" s="124"/>
      <c r="V586" s="124"/>
      <c r="W586" s="124"/>
      <c r="X586" s="124"/>
    </row>
    <row r="587" spans="1:24" ht="19.5" thickBot="1">
      <c r="A587" s="221"/>
      <c r="B587" s="169" t="s">
        <v>2095</v>
      </c>
      <c r="C587" s="170" t="s">
        <v>2096</v>
      </c>
      <c r="D587" s="171">
        <f t="shared" ref="D587" si="245">+D575-D586</f>
        <v>-8.8475644588470459E-9</v>
      </c>
      <c r="E587" s="171">
        <f t="shared" ref="E587" si="246">+E575-E586</f>
        <v>15599.720000004862</v>
      </c>
      <c r="F587" s="74"/>
      <c r="G587" s="223"/>
      <c r="H587" s="128"/>
      <c r="J587" s="106"/>
      <c r="N587" s="125"/>
      <c r="O587" s="125"/>
      <c r="P587" s="125"/>
      <c r="Q587" s="125"/>
      <c r="R587" s="125"/>
      <c r="S587" s="125"/>
      <c r="T587" s="125"/>
      <c r="U587" s="125"/>
      <c r="V587" s="125"/>
      <c r="W587" s="125"/>
      <c r="X587" s="125"/>
    </row>
    <row r="588" spans="1:24">
      <c r="A588" s="130"/>
      <c r="B588" s="129"/>
      <c r="C588" s="130"/>
      <c r="D588" s="130"/>
      <c r="E588" s="130"/>
      <c r="F588" s="130"/>
      <c r="G588" s="130"/>
      <c r="H588" s="130"/>
      <c r="I588" s="130"/>
      <c r="J588" s="131"/>
      <c r="K588" s="131"/>
      <c r="L588" s="131"/>
      <c r="M588" s="131"/>
      <c r="N588" s="131"/>
      <c r="O588" s="131"/>
      <c r="P588" s="131"/>
      <c r="Q588" s="131"/>
      <c r="R588" s="131"/>
      <c r="S588" s="387"/>
    </row>
    <row r="589" spans="1:24">
      <c r="A589" s="130"/>
      <c r="B589" s="77" t="s">
        <v>2097</v>
      </c>
      <c r="C589" s="130"/>
      <c r="D589" s="130"/>
      <c r="E589" s="130"/>
      <c r="F589" s="130"/>
      <c r="G589" s="130"/>
      <c r="H589" s="130"/>
      <c r="I589" s="130"/>
      <c r="J589" s="77"/>
      <c r="K589" s="77"/>
      <c r="L589" s="77"/>
      <c r="M589" s="77"/>
      <c r="N589" s="77"/>
      <c r="O589" s="77"/>
      <c r="P589" s="77"/>
      <c r="Q589" s="77"/>
      <c r="R589" s="77"/>
      <c r="S589" s="387"/>
    </row>
    <row r="590" spans="1:24" ht="15">
      <c r="A590" s="388"/>
      <c r="B590" s="60"/>
      <c r="C590" s="130"/>
      <c r="D590" s="130"/>
      <c r="E590" s="418"/>
      <c r="F590" s="130"/>
      <c r="G590" s="130"/>
      <c r="H590" s="130"/>
      <c r="I590" s="130"/>
      <c r="J590" s="131"/>
      <c r="K590" s="131"/>
      <c r="L590" s="131"/>
      <c r="M590" s="131"/>
      <c r="N590" s="131"/>
      <c r="O590" s="131"/>
      <c r="P590" s="131"/>
      <c r="Q590" s="131"/>
      <c r="R590" s="131"/>
      <c r="S590" s="387"/>
    </row>
    <row r="591" spans="1:24">
      <c r="A591" s="388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389"/>
    </row>
    <row r="592" spans="1:24">
      <c r="A592" s="388"/>
      <c r="B592" s="70" t="s">
        <v>2098</v>
      </c>
      <c r="C592" s="131"/>
      <c r="D592" s="131" t="s">
        <v>3460</v>
      </c>
      <c r="E592" s="131"/>
      <c r="G592" s="131"/>
      <c r="I592" s="131"/>
      <c r="J592" s="131"/>
      <c r="M592" s="131"/>
      <c r="N592" s="131"/>
      <c r="O592" s="131"/>
      <c r="P592" s="131"/>
      <c r="Q592" s="77"/>
      <c r="R592" s="77"/>
      <c r="S592" s="357"/>
    </row>
    <row r="593" spans="1:22">
      <c r="A593" s="130"/>
      <c r="B593" s="77"/>
      <c r="C593" s="77"/>
      <c r="D593" s="77"/>
      <c r="E593" s="77"/>
      <c r="F593" s="77"/>
      <c r="G593" s="77"/>
      <c r="I593" s="77"/>
      <c r="J593" s="77"/>
      <c r="M593" s="77"/>
      <c r="N593" s="77"/>
      <c r="O593" s="77"/>
      <c r="P593" s="77"/>
      <c r="Q593" s="77"/>
      <c r="R593" s="77"/>
      <c r="S593" s="389"/>
    </row>
    <row r="594" spans="1:22" ht="15">
      <c r="A594" s="130"/>
      <c r="B594" s="70" t="s">
        <v>2099</v>
      </c>
      <c r="C594" s="130"/>
      <c r="D594" s="126" t="s">
        <v>2099</v>
      </c>
      <c r="E594" s="131"/>
      <c r="F594" s="131"/>
      <c r="G594" s="131"/>
      <c r="I594" s="131"/>
      <c r="J594" s="131"/>
      <c r="M594" s="131"/>
      <c r="N594" s="131"/>
      <c r="O594" s="131"/>
      <c r="P594" s="131"/>
      <c r="Q594" s="131"/>
      <c r="R594" s="131"/>
      <c r="S594" s="390"/>
    </row>
    <row r="595" spans="1:22">
      <c r="A595" s="130"/>
      <c r="B595" s="77"/>
      <c r="C595" s="77"/>
      <c r="D595" s="77"/>
      <c r="E595" s="77"/>
      <c r="F595" s="77"/>
      <c r="G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389"/>
    </row>
    <row r="596" spans="1:22">
      <c r="A596" s="130"/>
      <c r="B596" s="77"/>
      <c r="C596" s="77"/>
      <c r="D596" s="126" t="s">
        <v>3461</v>
      </c>
      <c r="E596" s="77"/>
      <c r="K596" s="131"/>
      <c r="L596" s="131"/>
      <c r="M596" s="131"/>
      <c r="N596" s="131"/>
      <c r="O596" s="131"/>
      <c r="P596" s="131"/>
      <c r="Q596" s="131"/>
      <c r="R596" s="131"/>
      <c r="S596" s="389"/>
    </row>
    <row r="597" spans="1:22" ht="15">
      <c r="A597" s="130"/>
      <c r="B597" s="77"/>
      <c r="C597" s="77"/>
      <c r="E597" s="131"/>
      <c r="F597" s="131"/>
      <c r="M597" s="61"/>
      <c r="N597" s="61"/>
      <c r="O597" s="61"/>
      <c r="P597" s="61"/>
      <c r="Q597" s="61"/>
      <c r="S597" s="389"/>
    </row>
    <row r="598" spans="1:22" ht="15">
      <c r="A598" s="61"/>
      <c r="B598" s="60"/>
      <c r="C598" s="131"/>
      <c r="D598" s="126" t="s">
        <v>2099</v>
      </c>
      <c r="E598" s="77"/>
      <c r="F598" s="77"/>
      <c r="M598" s="61"/>
      <c r="N598" s="61"/>
      <c r="O598" s="61"/>
      <c r="P598" s="61"/>
      <c r="Q598" s="61"/>
      <c r="S598" s="390"/>
    </row>
    <row r="599" spans="1:22" ht="15">
      <c r="A599" s="61"/>
      <c r="B599" s="77"/>
      <c r="C599" s="77"/>
      <c r="D599" s="77"/>
      <c r="E599" s="77"/>
      <c r="F599" s="77"/>
      <c r="M599" s="61"/>
      <c r="N599" s="61"/>
      <c r="O599" s="61"/>
      <c r="P599" s="61"/>
      <c r="Q599" s="61"/>
      <c r="S599" s="389"/>
    </row>
    <row r="600" spans="1:22" ht="15">
      <c r="A600" s="61"/>
      <c r="C600" s="61"/>
      <c r="D600" s="61"/>
      <c r="E600" s="61"/>
      <c r="F600" s="61"/>
      <c r="G600" s="131"/>
      <c r="H600" s="131"/>
      <c r="I600" s="131"/>
      <c r="M600" s="61"/>
      <c r="N600" s="61"/>
      <c r="O600" s="61"/>
      <c r="P600" s="61"/>
      <c r="Q600" s="61"/>
      <c r="T600" s="61"/>
    </row>
    <row r="601" spans="1:22" ht="15">
      <c r="M601" s="61"/>
      <c r="N601" s="61"/>
      <c r="O601" s="61"/>
      <c r="P601" s="61"/>
      <c r="Q601" s="61"/>
    </row>
    <row r="602" spans="1:22" ht="15">
      <c r="R602" s="61"/>
      <c r="S602" s="61"/>
      <c r="T602" s="61"/>
      <c r="U602" s="61"/>
      <c r="V602" s="61"/>
    </row>
    <row r="603" spans="1:22" ht="15">
      <c r="R603" s="62"/>
      <c r="S603" s="62"/>
      <c r="T603" s="62"/>
      <c r="U603" s="62"/>
      <c r="V603" s="62"/>
    </row>
    <row r="604" spans="1:22" ht="15">
      <c r="R604" s="62"/>
      <c r="S604" s="62"/>
      <c r="T604" s="62"/>
      <c r="U604" s="62"/>
      <c r="V604" s="62"/>
    </row>
    <row r="605" spans="1:22" ht="15">
      <c r="R605" s="62"/>
      <c r="S605" s="62"/>
      <c r="T605" s="62"/>
      <c r="U605" s="62"/>
      <c r="V605" s="62"/>
    </row>
    <row r="606" spans="1:22" ht="15">
      <c r="R606" s="62"/>
      <c r="S606" s="62"/>
      <c r="T606" s="62"/>
      <c r="U606" s="62"/>
      <c r="V606" s="62"/>
    </row>
    <row r="607" spans="1:22" ht="15">
      <c r="R607" s="62"/>
      <c r="S607" s="62"/>
      <c r="T607" s="62"/>
      <c r="U607" s="62"/>
      <c r="V607" s="62"/>
    </row>
    <row r="608" spans="1:22" ht="15">
      <c r="R608" s="62"/>
      <c r="S608" s="62"/>
      <c r="T608" s="62"/>
      <c r="U608" s="62"/>
      <c r="V608" s="62"/>
    </row>
    <row r="609" spans="18:22" ht="15">
      <c r="R609" s="62"/>
      <c r="S609" s="62"/>
      <c r="T609" s="62"/>
      <c r="U609" s="62"/>
      <c r="V609" s="62"/>
    </row>
    <row r="610" spans="18:22" ht="15">
      <c r="R610" s="62"/>
      <c r="S610" s="62"/>
      <c r="T610" s="62"/>
      <c r="U610" s="62"/>
      <c r="V610" s="62"/>
    </row>
    <row r="611" spans="18:22" ht="15">
      <c r="R611" s="62"/>
      <c r="S611" s="62"/>
      <c r="T611" s="62"/>
      <c r="U611" s="62"/>
      <c r="V611" s="62"/>
    </row>
    <row r="612" spans="18:22" ht="15">
      <c r="R612" s="62"/>
      <c r="S612" s="62"/>
      <c r="T612" s="62"/>
      <c r="U612" s="62"/>
      <c r="V612" s="62"/>
    </row>
    <row r="613" spans="18:22" ht="15">
      <c r="R613" s="62"/>
      <c r="S613" s="62"/>
      <c r="T613" s="62"/>
      <c r="U613" s="62"/>
      <c r="V613" s="62"/>
    </row>
    <row r="614" spans="18:22" ht="15">
      <c r="R614" s="62"/>
      <c r="S614" s="62"/>
      <c r="T614" s="62"/>
      <c r="U614" s="62"/>
      <c r="V614" s="62"/>
    </row>
    <row r="615" spans="18:22" ht="15">
      <c r="R615" s="62"/>
      <c r="S615" s="62"/>
      <c r="T615" s="62"/>
      <c r="U615" s="62"/>
      <c r="V615" s="62"/>
    </row>
    <row r="616" spans="18:22" ht="15">
      <c r="R616" s="62"/>
      <c r="S616" s="62"/>
      <c r="T616" s="62"/>
      <c r="U616" s="62"/>
      <c r="V616" s="62"/>
    </row>
    <row r="617" spans="18:22" ht="15">
      <c r="R617" s="62"/>
      <c r="S617" s="62"/>
      <c r="T617" s="62"/>
      <c r="U617" s="62"/>
      <c r="V617" s="62"/>
    </row>
    <row r="618" spans="18:22" ht="15">
      <c r="R618" s="62"/>
      <c r="S618" s="62"/>
      <c r="T618" s="62"/>
      <c r="U618" s="62"/>
      <c r="V618" s="62"/>
    </row>
    <row r="619" spans="18:22" ht="15">
      <c r="R619" s="62"/>
      <c r="S619" s="62"/>
      <c r="T619" s="62"/>
      <c r="U619" s="62"/>
      <c r="V619" s="62"/>
    </row>
    <row r="620" spans="18:22" ht="15">
      <c r="R620" s="62"/>
      <c r="S620" s="62"/>
      <c r="T620" s="62"/>
      <c r="U620" s="62"/>
      <c r="V620" s="62"/>
    </row>
    <row r="621" spans="18:22" ht="15">
      <c r="R621" s="62"/>
      <c r="S621" s="62"/>
      <c r="T621" s="62"/>
      <c r="U621" s="62"/>
      <c r="V621" s="62"/>
    </row>
    <row r="622" spans="18:22" ht="15">
      <c r="R622" s="62"/>
      <c r="S622" s="62"/>
      <c r="T622" s="62"/>
      <c r="U622" s="62"/>
      <c r="V622" s="62"/>
    </row>
    <row r="623" spans="18:22" ht="15">
      <c r="R623" s="62"/>
      <c r="S623" s="62"/>
      <c r="T623" s="62"/>
      <c r="U623" s="62"/>
      <c r="V623" s="62"/>
    </row>
    <row r="624" spans="18:22" ht="15">
      <c r="R624" s="62"/>
      <c r="S624" s="62"/>
      <c r="T624" s="62"/>
      <c r="U624" s="62"/>
      <c r="V624" s="62"/>
    </row>
    <row r="625" spans="18:22" ht="15">
      <c r="R625" s="62"/>
      <c r="S625" s="62"/>
      <c r="T625" s="62"/>
      <c r="U625" s="62"/>
      <c r="V625" s="62"/>
    </row>
    <row r="626" spans="18:22" ht="15">
      <c r="R626" s="62"/>
      <c r="S626" s="62"/>
      <c r="T626" s="62"/>
      <c r="U626" s="62"/>
      <c r="V626" s="62"/>
    </row>
    <row r="627" spans="18:22" ht="15">
      <c r="R627" s="62"/>
      <c r="S627" s="62"/>
      <c r="T627" s="62"/>
      <c r="U627" s="62"/>
      <c r="V627" s="62"/>
    </row>
    <row r="628" spans="18:22" ht="15">
      <c r="R628" s="62"/>
      <c r="S628" s="62"/>
      <c r="T628" s="62"/>
      <c r="U628" s="62"/>
      <c r="V628" s="62"/>
    </row>
    <row r="629" spans="18:22" ht="15">
      <c r="R629" s="62"/>
      <c r="S629" s="62"/>
      <c r="T629" s="62"/>
      <c r="U629" s="62"/>
      <c r="V629" s="62"/>
    </row>
    <row r="630" spans="18:22" ht="15">
      <c r="R630" s="62"/>
      <c r="S630" s="62"/>
      <c r="T630" s="62"/>
      <c r="U630" s="62"/>
      <c r="V630" s="62"/>
    </row>
    <row r="631" spans="18:22" ht="15">
      <c r="R631" s="62"/>
      <c r="S631" s="62"/>
      <c r="T631" s="62"/>
      <c r="U631" s="62"/>
      <c r="V631" s="62"/>
    </row>
    <row r="632" spans="18:22" ht="15">
      <c r="R632" s="62"/>
      <c r="S632" s="62"/>
      <c r="T632" s="62"/>
      <c r="U632" s="62"/>
      <c r="V632" s="62"/>
    </row>
    <row r="633" spans="18:22" ht="15">
      <c r="R633" s="62"/>
      <c r="S633" s="62"/>
      <c r="T633" s="62"/>
      <c r="U633" s="62"/>
      <c r="V633" s="62"/>
    </row>
    <row r="634" spans="18:22" ht="15">
      <c r="R634" s="62"/>
      <c r="S634" s="62"/>
      <c r="T634" s="62"/>
      <c r="U634" s="62"/>
      <c r="V634" s="62"/>
    </row>
    <row r="635" spans="18:22" ht="15">
      <c r="R635" s="62"/>
      <c r="S635" s="62"/>
      <c r="T635" s="62"/>
      <c r="U635" s="62"/>
      <c r="V635" s="62"/>
    </row>
    <row r="636" spans="18:22" ht="15">
      <c r="R636" s="62"/>
      <c r="S636" s="62"/>
      <c r="T636" s="62"/>
      <c r="U636" s="62"/>
      <c r="V636" s="62"/>
    </row>
    <row r="637" spans="18:22" ht="15">
      <c r="R637" s="62"/>
      <c r="S637" s="62"/>
      <c r="T637" s="62"/>
      <c r="U637" s="62"/>
      <c r="V637" s="62"/>
    </row>
    <row r="638" spans="18:22" ht="15">
      <c r="R638" s="62"/>
      <c r="S638" s="62"/>
      <c r="T638" s="62"/>
      <c r="U638" s="62"/>
      <c r="V638" s="62"/>
    </row>
    <row r="639" spans="18:22" ht="15">
      <c r="R639" s="62"/>
      <c r="S639" s="62"/>
      <c r="T639" s="62"/>
      <c r="U639" s="62"/>
      <c r="V639" s="62"/>
    </row>
    <row r="640" spans="18:22" ht="15">
      <c r="R640" s="62"/>
      <c r="S640" s="62"/>
      <c r="T640" s="62"/>
      <c r="U640" s="62"/>
      <c r="V640" s="62"/>
    </row>
    <row r="641" spans="18:22" ht="15">
      <c r="R641" s="62"/>
      <c r="S641" s="62"/>
      <c r="T641" s="62"/>
      <c r="U641" s="62"/>
      <c r="V641" s="62"/>
    </row>
    <row r="642" spans="18:22" ht="15">
      <c r="R642" s="62"/>
      <c r="S642" s="62"/>
      <c r="T642" s="62"/>
      <c r="U642" s="62"/>
      <c r="V642" s="62"/>
    </row>
    <row r="643" spans="18:22" ht="15">
      <c r="R643" s="62"/>
      <c r="S643" s="62"/>
      <c r="T643" s="62"/>
      <c r="U643" s="62"/>
      <c r="V643" s="62"/>
    </row>
    <row r="644" spans="18:22" ht="15">
      <c r="R644" s="62"/>
      <c r="S644" s="62"/>
      <c r="T644" s="62"/>
      <c r="U644" s="62"/>
      <c r="V644" s="62"/>
    </row>
    <row r="645" spans="18:22" ht="15">
      <c r="R645" s="62"/>
      <c r="S645" s="62"/>
      <c r="T645" s="62"/>
      <c r="U645" s="62"/>
      <c r="V645" s="62"/>
    </row>
    <row r="646" spans="18:22" ht="15">
      <c r="R646" s="62"/>
      <c r="S646" s="62"/>
      <c r="T646" s="62"/>
      <c r="U646" s="62"/>
      <c r="V646" s="62"/>
    </row>
    <row r="647" spans="18:22" ht="15">
      <c r="R647" s="62"/>
      <c r="S647" s="62"/>
      <c r="T647" s="62"/>
      <c r="U647" s="62"/>
      <c r="V647" s="62"/>
    </row>
    <row r="648" spans="18:22" ht="15">
      <c r="R648" s="62"/>
      <c r="S648" s="62"/>
      <c r="T648" s="62"/>
      <c r="U648" s="62"/>
      <c r="V648" s="62"/>
    </row>
    <row r="649" spans="18:22" ht="15">
      <c r="R649" s="62"/>
      <c r="S649" s="62"/>
      <c r="T649" s="62"/>
      <c r="U649" s="62"/>
      <c r="V649" s="62"/>
    </row>
    <row r="650" spans="18:22" ht="15">
      <c r="R650" s="62"/>
      <c r="S650" s="62"/>
      <c r="T650" s="62"/>
      <c r="U650" s="62"/>
      <c r="V650" s="62"/>
    </row>
  </sheetData>
  <mergeCells count="2">
    <mergeCell ref="A18:AC18"/>
    <mergeCell ref="D23:E23"/>
  </mergeCells>
  <pageMargins left="0.70866141732283472" right="0.70866141732283472" top="0.74803149606299213" bottom="0.74803149606299213" header="0.31496062992125984" footer="0.31496062992125984"/>
  <pageSetup paperSize="9" scale="37" fitToHeight="10" orientation="portrait" r:id="rId1"/>
  <headerFooter>
    <oddHeader>&amp;LASUFC Conto Economico Preventivo 2025 - Gestione Sanità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52"/>
  <sheetViews>
    <sheetView showGridLines="0" zoomScaleNormal="100" workbookViewId="0">
      <pane ySplit="2" topLeftCell="A550" activePane="bottomLeft" state="frozen"/>
      <selection activeCell="I101" sqref="I101"/>
      <selection pane="bottomLeft" activeCell="G560" sqref="G560"/>
    </sheetView>
  </sheetViews>
  <sheetFormatPr defaultRowHeight="12.75"/>
  <cols>
    <col min="1" max="6" width="5.5703125" style="250" customWidth="1"/>
    <col min="7" max="7" width="16.85546875" style="250" customWidth="1"/>
    <col min="8" max="8" width="52.42578125" style="409" customWidth="1"/>
    <col min="9" max="9" width="14.5703125" style="250" customWidth="1"/>
    <col min="10" max="10" width="9.5703125" style="250" customWidth="1"/>
    <col min="11" max="16" width="18.42578125" style="250" customWidth="1"/>
    <col min="17" max="16384" width="9.140625" style="250"/>
  </cols>
  <sheetData>
    <row r="1" spans="1:16" s="977" customFormat="1" ht="26.45" customHeight="1" thickBot="1">
      <c r="A1" s="399" t="s">
        <v>119</v>
      </c>
      <c r="B1" s="400"/>
      <c r="C1" s="400"/>
      <c r="D1" s="400"/>
      <c r="E1" s="400"/>
      <c r="F1" s="401"/>
      <c r="G1" s="995" t="s">
        <v>3452</v>
      </c>
      <c r="H1" s="995" t="s">
        <v>120</v>
      </c>
      <c r="I1" s="996" t="s">
        <v>121</v>
      </c>
      <c r="J1" s="324" t="s">
        <v>2218</v>
      </c>
      <c r="K1" s="993" t="s">
        <v>4870</v>
      </c>
      <c r="L1" s="991" t="s">
        <v>4871</v>
      </c>
      <c r="M1" s="991" t="s">
        <v>4872</v>
      </c>
      <c r="N1" s="993" t="s">
        <v>3519</v>
      </c>
      <c r="O1" s="991" t="s">
        <v>3520</v>
      </c>
      <c r="P1" s="991" t="s">
        <v>3521</v>
      </c>
    </row>
    <row r="2" spans="1:16" ht="13.5" thickBot="1">
      <c r="A2" s="402" t="s">
        <v>122</v>
      </c>
      <c r="B2" s="402" t="s">
        <v>123</v>
      </c>
      <c r="C2" s="402" t="s">
        <v>124</v>
      </c>
      <c r="D2" s="402" t="s">
        <v>125</v>
      </c>
      <c r="E2" s="402" t="s">
        <v>126</v>
      </c>
      <c r="F2" s="402" t="s">
        <v>127</v>
      </c>
      <c r="G2" s="995"/>
      <c r="H2" s="995"/>
      <c r="I2" s="997"/>
      <c r="J2" s="323"/>
      <c r="K2" s="994"/>
      <c r="L2" s="992"/>
      <c r="M2" s="992"/>
      <c r="N2" s="994"/>
      <c r="O2" s="992"/>
      <c r="P2" s="992"/>
    </row>
    <row r="3" spans="1:16">
      <c r="A3" s="403">
        <v>300</v>
      </c>
      <c r="B3" s="404">
        <v>0</v>
      </c>
      <c r="C3" s="404">
        <v>0</v>
      </c>
      <c r="D3" s="404">
        <v>0</v>
      </c>
      <c r="E3" s="404">
        <v>0</v>
      </c>
      <c r="F3" s="404">
        <v>0</v>
      </c>
      <c r="G3" s="339">
        <v>300</v>
      </c>
      <c r="H3" s="339" t="s">
        <v>535</v>
      </c>
      <c r="I3" s="55" t="s">
        <v>536</v>
      </c>
      <c r="J3" s="55"/>
      <c r="K3" s="335"/>
      <c r="L3" s="335"/>
      <c r="M3" s="335"/>
      <c r="N3" s="335"/>
      <c r="O3" s="335"/>
      <c r="P3" s="335"/>
    </row>
    <row r="4" spans="1:16">
      <c r="A4" s="177">
        <v>300</v>
      </c>
      <c r="B4" s="326">
        <v>100</v>
      </c>
      <c r="C4" s="326">
        <v>0</v>
      </c>
      <c r="D4" s="326">
        <v>0</v>
      </c>
      <c r="E4" s="326">
        <v>0</v>
      </c>
      <c r="F4" s="326">
        <v>0</v>
      </c>
      <c r="G4" s="331" t="s">
        <v>2338</v>
      </c>
      <c r="H4" s="331" t="s">
        <v>537</v>
      </c>
      <c r="I4" s="332" t="s">
        <v>538</v>
      </c>
      <c r="J4" s="332"/>
      <c r="K4" s="411"/>
      <c r="L4" s="411"/>
      <c r="M4" s="411"/>
      <c r="N4" s="411"/>
      <c r="O4" s="411"/>
      <c r="P4" s="411"/>
    </row>
    <row r="5" spans="1:16">
      <c r="A5" s="176">
        <v>300</v>
      </c>
      <c r="B5" s="325">
        <v>100</v>
      </c>
      <c r="C5" s="326">
        <v>100</v>
      </c>
      <c r="D5" s="326">
        <v>0</v>
      </c>
      <c r="E5" s="326">
        <v>0</v>
      </c>
      <c r="F5" s="326">
        <v>0</v>
      </c>
      <c r="G5" s="331" t="s">
        <v>2339</v>
      </c>
      <c r="H5" s="331" t="s">
        <v>539</v>
      </c>
      <c r="I5" s="333" t="s">
        <v>540</v>
      </c>
      <c r="J5" s="333"/>
      <c r="K5" s="410"/>
      <c r="L5" s="410"/>
      <c r="M5" s="410"/>
      <c r="N5" s="410"/>
      <c r="O5" s="410"/>
      <c r="P5" s="410"/>
    </row>
    <row r="6" spans="1:16" ht="38.25">
      <c r="A6" s="176">
        <v>300</v>
      </c>
      <c r="B6" s="325">
        <v>100</v>
      </c>
      <c r="C6" s="326">
        <v>100</v>
      </c>
      <c r="D6" s="326">
        <v>100</v>
      </c>
      <c r="E6" s="326">
        <v>0</v>
      </c>
      <c r="F6" s="326">
        <v>0</v>
      </c>
      <c r="G6" s="330" t="s">
        <v>2340</v>
      </c>
      <c r="H6" s="330" t="s">
        <v>543</v>
      </c>
      <c r="I6" s="326" t="s">
        <v>542</v>
      </c>
      <c r="J6" s="326"/>
      <c r="K6" s="334">
        <f>+L6+M6</f>
        <v>37316.15</v>
      </c>
      <c r="L6" s="334">
        <v>37316.15</v>
      </c>
      <c r="M6" s="334"/>
      <c r="N6" s="334">
        <f>+O6+P6</f>
        <v>163355.60999999999</v>
      </c>
      <c r="O6" s="334">
        <v>163355.60999999999</v>
      </c>
      <c r="P6" s="334"/>
    </row>
    <row r="7" spans="1:16" ht="25.5">
      <c r="A7" s="176">
        <v>300</v>
      </c>
      <c r="B7" s="325">
        <v>100</v>
      </c>
      <c r="C7" s="326">
        <v>100</v>
      </c>
      <c r="D7" s="326">
        <v>101</v>
      </c>
      <c r="E7" s="326">
        <v>0</v>
      </c>
      <c r="F7" s="326">
        <v>0</v>
      </c>
      <c r="G7" s="330" t="s">
        <v>2219</v>
      </c>
      <c r="H7" s="330" t="s">
        <v>2220</v>
      </c>
      <c r="I7" s="326" t="s">
        <v>542</v>
      </c>
      <c r="J7" s="326"/>
      <c r="K7" s="334">
        <f t="shared" ref="K7:K70" si="0">+L7+M7</f>
        <v>300659.59999999998</v>
      </c>
      <c r="L7" s="334">
        <v>300659.59999999998</v>
      </c>
      <c r="M7" s="334"/>
      <c r="N7" s="334">
        <f t="shared" ref="N7:N70" si="1">+O7+P7</f>
        <v>302507.56</v>
      </c>
      <c r="O7" s="334">
        <v>302507.56</v>
      </c>
      <c r="P7" s="334"/>
    </row>
    <row r="8" spans="1:16">
      <c r="A8" s="176">
        <v>300</v>
      </c>
      <c r="B8" s="325">
        <v>100</v>
      </c>
      <c r="C8" s="326">
        <v>100</v>
      </c>
      <c r="D8" s="326">
        <v>200</v>
      </c>
      <c r="E8" s="326">
        <v>0</v>
      </c>
      <c r="F8" s="326">
        <v>0</v>
      </c>
      <c r="G8" s="330" t="s">
        <v>2341</v>
      </c>
      <c r="H8" s="330" t="s">
        <v>544</v>
      </c>
      <c r="I8" s="326" t="s">
        <v>545</v>
      </c>
      <c r="J8" s="326"/>
      <c r="K8" s="334">
        <f t="shared" si="0"/>
        <v>3488.67</v>
      </c>
      <c r="L8" s="334">
        <v>3488.67</v>
      </c>
      <c r="M8" s="334"/>
      <c r="N8" s="334">
        <f t="shared" si="1"/>
        <v>16741.59</v>
      </c>
      <c r="O8" s="334">
        <v>16741.59</v>
      </c>
      <c r="P8" s="334"/>
    </row>
    <row r="9" spans="1:16" ht="25.5">
      <c r="A9" s="176">
        <v>300</v>
      </c>
      <c r="B9" s="325">
        <v>100</v>
      </c>
      <c r="C9" s="326">
        <v>100</v>
      </c>
      <c r="D9" s="326">
        <v>201</v>
      </c>
      <c r="E9" s="326">
        <v>0</v>
      </c>
      <c r="F9" s="326">
        <v>0</v>
      </c>
      <c r="G9" s="330" t="s">
        <v>2221</v>
      </c>
      <c r="H9" s="330" t="s">
        <v>2222</v>
      </c>
      <c r="I9" s="326" t="s">
        <v>545</v>
      </c>
      <c r="J9" s="326"/>
      <c r="K9" s="334">
        <f t="shared" si="0"/>
        <v>19466.39</v>
      </c>
      <c r="L9" s="334">
        <v>19466.39</v>
      </c>
      <c r="M9" s="334"/>
      <c r="N9" s="334">
        <f t="shared" si="1"/>
        <v>13246.75</v>
      </c>
      <c r="O9" s="334">
        <v>13246.75</v>
      </c>
      <c r="P9" s="334"/>
    </row>
    <row r="10" spans="1:16">
      <c r="A10" s="176">
        <v>300</v>
      </c>
      <c r="B10" s="325">
        <v>100</v>
      </c>
      <c r="C10" s="326">
        <v>100</v>
      </c>
      <c r="D10" s="326">
        <v>250</v>
      </c>
      <c r="E10" s="326">
        <v>0</v>
      </c>
      <c r="F10" s="326">
        <v>0</v>
      </c>
      <c r="G10" s="330" t="s">
        <v>2342</v>
      </c>
      <c r="H10" s="330" t="s">
        <v>546</v>
      </c>
      <c r="I10" s="326" t="s">
        <v>547</v>
      </c>
      <c r="J10" s="326"/>
      <c r="K10" s="334">
        <f t="shared" si="0"/>
        <v>110514.49</v>
      </c>
      <c r="L10" s="334">
        <v>110514.49</v>
      </c>
      <c r="M10" s="334"/>
      <c r="N10" s="334">
        <f t="shared" si="1"/>
        <v>106841.68</v>
      </c>
      <c r="O10" s="334">
        <v>106841.68</v>
      </c>
      <c r="P10" s="334"/>
    </row>
    <row r="11" spans="1:16">
      <c r="A11" s="176">
        <v>300</v>
      </c>
      <c r="B11" s="325">
        <v>100</v>
      </c>
      <c r="C11" s="326">
        <v>100</v>
      </c>
      <c r="D11" s="326">
        <v>300</v>
      </c>
      <c r="E11" s="326">
        <v>0</v>
      </c>
      <c r="F11" s="326">
        <v>0</v>
      </c>
      <c r="G11" s="330" t="s">
        <v>2343</v>
      </c>
      <c r="H11" s="330" t="s">
        <v>548</v>
      </c>
      <c r="I11" s="326" t="s">
        <v>549</v>
      </c>
      <c r="J11" s="325"/>
      <c r="K11" s="335">
        <f t="shared" si="0"/>
        <v>0</v>
      </c>
      <c r="L11" s="335">
        <v>0</v>
      </c>
      <c r="M11" s="335"/>
      <c r="N11" s="335">
        <f t="shared" si="1"/>
        <v>0</v>
      </c>
      <c r="O11" s="335">
        <v>0</v>
      </c>
      <c r="P11" s="335"/>
    </row>
    <row r="12" spans="1:16" ht="38.25">
      <c r="A12" s="176">
        <v>300</v>
      </c>
      <c r="B12" s="325">
        <v>100</v>
      </c>
      <c r="C12" s="326">
        <v>100</v>
      </c>
      <c r="D12" s="326">
        <v>300</v>
      </c>
      <c r="E12" s="326">
        <v>100</v>
      </c>
      <c r="F12" s="326">
        <v>0</v>
      </c>
      <c r="G12" s="330" t="s">
        <v>2344</v>
      </c>
      <c r="H12" s="330" t="s">
        <v>550</v>
      </c>
      <c r="I12" s="326" t="s">
        <v>551</v>
      </c>
      <c r="J12" s="326" t="s">
        <v>1529</v>
      </c>
      <c r="K12" s="334">
        <f t="shared" si="0"/>
        <v>0</v>
      </c>
      <c r="L12" s="334">
        <v>0</v>
      </c>
      <c r="M12" s="334"/>
      <c r="N12" s="334">
        <f t="shared" si="1"/>
        <v>0</v>
      </c>
      <c r="O12" s="334">
        <v>0</v>
      </c>
      <c r="P12" s="334"/>
    </row>
    <row r="13" spans="1:16" ht="38.25">
      <c r="A13" s="176">
        <v>300</v>
      </c>
      <c r="B13" s="325">
        <v>100</v>
      </c>
      <c r="C13" s="326">
        <v>100</v>
      </c>
      <c r="D13" s="326">
        <v>300</v>
      </c>
      <c r="E13" s="326">
        <v>200</v>
      </c>
      <c r="F13" s="326">
        <v>0</v>
      </c>
      <c r="G13" s="330" t="s">
        <v>2345</v>
      </c>
      <c r="H13" s="330" t="s">
        <v>552</v>
      </c>
      <c r="I13" s="326" t="s">
        <v>553</v>
      </c>
      <c r="J13" s="326" t="s">
        <v>1574</v>
      </c>
      <c r="K13" s="334">
        <f t="shared" si="0"/>
        <v>0</v>
      </c>
      <c r="L13" s="334">
        <v>0</v>
      </c>
      <c r="M13" s="334"/>
      <c r="N13" s="334">
        <f t="shared" si="1"/>
        <v>0</v>
      </c>
      <c r="O13" s="334">
        <v>0</v>
      </c>
      <c r="P13" s="334"/>
    </row>
    <row r="14" spans="1:16">
      <c r="A14" s="176">
        <v>300</v>
      </c>
      <c r="B14" s="325">
        <v>100</v>
      </c>
      <c r="C14" s="326">
        <v>100</v>
      </c>
      <c r="D14" s="326">
        <v>300</v>
      </c>
      <c r="E14" s="326">
        <v>300</v>
      </c>
      <c r="F14" s="326">
        <v>0</v>
      </c>
      <c r="G14" s="330" t="s">
        <v>2346</v>
      </c>
      <c r="H14" s="330" t="s">
        <v>554</v>
      </c>
      <c r="I14" s="326" t="s">
        <v>555</v>
      </c>
      <c r="J14" s="326"/>
      <c r="K14" s="334">
        <f t="shared" si="0"/>
        <v>0</v>
      </c>
      <c r="L14" s="334">
        <v>0</v>
      </c>
      <c r="M14" s="334"/>
      <c r="N14" s="334">
        <f t="shared" si="1"/>
        <v>0</v>
      </c>
      <c r="O14" s="334">
        <v>0</v>
      </c>
      <c r="P14" s="334"/>
    </row>
    <row r="15" spans="1:16">
      <c r="A15" s="176">
        <v>300</v>
      </c>
      <c r="B15" s="325">
        <v>100</v>
      </c>
      <c r="C15" s="326">
        <v>200</v>
      </c>
      <c r="D15" s="326">
        <v>0</v>
      </c>
      <c r="E15" s="326">
        <v>0</v>
      </c>
      <c r="F15" s="326">
        <v>0</v>
      </c>
      <c r="G15" s="331" t="s">
        <v>2347</v>
      </c>
      <c r="H15" s="331" t="s">
        <v>556</v>
      </c>
      <c r="I15" s="332" t="s">
        <v>557</v>
      </c>
      <c r="J15" s="333"/>
      <c r="K15" s="335">
        <f t="shared" si="0"/>
        <v>0</v>
      </c>
      <c r="L15" s="335">
        <v>0</v>
      </c>
      <c r="M15" s="335"/>
      <c r="N15" s="335">
        <f t="shared" si="1"/>
        <v>0</v>
      </c>
      <c r="O15" s="335">
        <v>0</v>
      </c>
      <c r="P15" s="335"/>
    </row>
    <row r="16" spans="1:16" ht="25.5">
      <c r="A16" s="177">
        <v>300</v>
      </c>
      <c r="B16" s="326">
        <v>100</v>
      </c>
      <c r="C16" s="326">
        <v>200</v>
      </c>
      <c r="D16" s="326">
        <v>100</v>
      </c>
      <c r="E16" s="326">
        <v>0</v>
      </c>
      <c r="F16" s="326">
        <v>0</v>
      </c>
      <c r="G16" s="330" t="s">
        <v>2348</v>
      </c>
      <c r="H16" s="330" t="s">
        <v>558</v>
      </c>
      <c r="I16" s="332" t="s">
        <v>559</v>
      </c>
      <c r="J16" s="332" t="s">
        <v>1529</v>
      </c>
      <c r="K16" s="334">
        <f t="shared" si="0"/>
        <v>0</v>
      </c>
      <c r="L16" s="334">
        <v>0</v>
      </c>
      <c r="M16" s="334"/>
      <c r="N16" s="334">
        <f t="shared" si="1"/>
        <v>0</v>
      </c>
      <c r="O16" s="334">
        <v>0</v>
      </c>
      <c r="P16" s="334"/>
    </row>
    <row r="17" spans="1:16" ht="25.5">
      <c r="A17" s="176">
        <v>300</v>
      </c>
      <c r="B17" s="325">
        <v>100</v>
      </c>
      <c r="C17" s="326">
        <v>200</v>
      </c>
      <c r="D17" s="326">
        <v>200</v>
      </c>
      <c r="E17" s="326">
        <v>0</v>
      </c>
      <c r="F17" s="326">
        <v>0</v>
      </c>
      <c r="G17" s="330" t="s">
        <v>2349</v>
      </c>
      <c r="H17" s="330" t="s">
        <v>560</v>
      </c>
      <c r="I17" s="326" t="s">
        <v>561</v>
      </c>
      <c r="J17" s="326" t="s">
        <v>1574</v>
      </c>
      <c r="K17" s="334">
        <f t="shared" si="0"/>
        <v>0</v>
      </c>
      <c r="L17" s="334">
        <v>0</v>
      </c>
      <c r="M17" s="334"/>
      <c r="N17" s="334">
        <f t="shared" si="1"/>
        <v>0</v>
      </c>
      <c r="O17" s="334">
        <v>0</v>
      </c>
      <c r="P17" s="334"/>
    </row>
    <row r="18" spans="1:16">
      <c r="A18" s="176">
        <v>300</v>
      </c>
      <c r="B18" s="325">
        <v>100</v>
      </c>
      <c r="C18" s="326">
        <v>200</v>
      </c>
      <c r="D18" s="326">
        <v>300</v>
      </c>
      <c r="E18" s="326">
        <v>0</v>
      </c>
      <c r="F18" s="326">
        <v>0</v>
      </c>
      <c r="G18" s="330" t="s">
        <v>2350</v>
      </c>
      <c r="H18" s="330" t="s">
        <v>562</v>
      </c>
      <c r="I18" s="326" t="s">
        <v>563</v>
      </c>
      <c r="J18" s="326"/>
      <c r="K18" s="334">
        <f t="shared" si="0"/>
        <v>0</v>
      </c>
      <c r="L18" s="334">
        <v>0</v>
      </c>
      <c r="M18" s="334"/>
      <c r="N18" s="334">
        <f t="shared" si="1"/>
        <v>0</v>
      </c>
      <c r="O18" s="334">
        <v>0</v>
      </c>
      <c r="P18" s="334"/>
    </row>
    <row r="19" spans="1:16">
      <c r="A19" s="176">
        <v>300</v>
      </c>
      <c r="B19" s="325">
        <v>100</v>
      </c>
      <c r="C19" s="326">
        <v>300</v>
      </c>
      <c r="D19" s="326">
        <v>0</v>
      </c>
      <c r="E19" s="326">
        <v>0</v>
      </c>
      <c r="F19" s="326">
        <v>0</v>
      </c>
      <c r="G19" s="331" t="s">
        <v>2351</v>
      </c>
      <c r="H19" s="331" t="s">
        <v>564</v>
      </c>
      <c r="I19" s="326" t="s">
        <v>565</v>
      </c>
      <c r="J19" s="325"/>
      <c r="K19" s="335">
        <f t="shared" si="0"/>
        <v>0</v>
      </c>
      <c r="L19" s="335">
        <v>0</v>
      </c>
      <c r="M19" s="335"/>
      <c r="N19" s="335">
        <f t="shared" si="1"/>
        <v>0</v>
      </c>
      <c r="O19" s="335">
        <v>0</v>
      </c>
      <c r="P19" s="335"/>
    </row>
    <row r="20" spans="1:16">
      <c r="A20" s="176">
        <v>300</v>
      </c>
      <c r="B20" s="325">
        <v>100</v>
      </c>
      <c r="C20" s="326">
        <v>300</v>
      </c>
      <c r="D20" s="326">
        <v>100</v>
      </c>
      <c r="E20" s="326">
        <v>0</v>
      </c>
      <c r="F20" s="326">
        <v>0</v>
      </c>
      <c r="G20" s="330" t="s">
        <v>2352</v>
      </c>
      <c r="H20" s="330" t="s">
        <v>566</v>
      </c>
      <c r="I20" s="326" t="s">
        <v>567</v>
      </c>
      <c r="J20" s="326"/>
      <c r="K20" s="334">
        <f t="shared" si="0"/>
        <v>2442272.25</v>
      </c>
      <c r="L20" s="334">
        <v>2442272.25</v>
      </c>
      <c r="M20" s="334"/>
      <c r="N20" s="334">
        <f t="shared" si="1"/>
        <v>2084122.9</v>
      </c>
      <c r="O20" s="334">
        <v>2084122.9</v>
      </c>
      <c r="P20" s="334"/>
    </row>
    <row r="21" spans="1:16" ht="25.5">
      <c r="A21" s="176">
        <v>300</v>
      </c>
      <c r="B21" s="325">
        <v>100</v>
      </c>
      <c r="C21" s="326">
        <v>300</v>
      </c>
      <c r="D21" s="326">
        <v>101</v>
      </c>
      <c r="E21" s="326">
        <v>0</v>
      </c>
      <c r="F21" s="326">
        <v>0</v>
      </c>
      <c r="G21" s="330" t="s">
        <v>2223</v>
      </c>
      <c r="H21" s="330" t="s">
        <v>2224</v>
      </c>
      <c r="I21" s="326" t="s">
        <v>567</v>
      </c>
      <c r="J21" s="326"/>
      <c r="K21" s="334">
        <f t="shared" si="0"/>
        <v>348263.16</v>
      </c>
      <c r="L21" s="334">
        <v>348263.16</v>
      </c>
      <c r="M21" s="334"/>
      <c r="N21" s="334">
        <f t="shared" si="1"/>
        <v>320067.49</v>
      </c>
      <c r="O21" s="334">
        <v>320067.49</v>
      </c>
      <c r="P21" s="334"/>
    </row>
    <row r="22" spans="1:16">
      <c r="A22" s="176">
        <v>300</v>
      </c>
      <c r="B22" s="325">
        <v>100</v>
      </c>
      <c r="C22" s="326">
        <v>300</v>
      </c>
      <c r="D22" s="326">
        <v>200</v>
      </c>
      <c r="E22" s="326">
        <v>0</v>
      </c>
      <c r="F22" s="326">
        <v>0</v>
      </c>
      <c r="G22" s="330" t="s">
        <v>2353</v>
      </c>
      <c r="H22" s="330" t="s">
        <v>568</v>
      </c>
      <c r="I22" s="326" t="s">
        <v>569</v>
      </c>
      <c r="J22" s="326"/>
      <c r="K22" s="334">
        <f t="shared" si="0"/>
        <v>354536</v>
      </c>
      <c r="L22" s="334">
        <v>354536</v>
      </c>
      <c r="M22" s="334"/>
      <c r="N22" s="334">
        <f t="shared" si="1"/>
        <v>242944</v>
      </c>
      <c r="O22" s="334">
        <v>242944</v>
      </c>
      <c r="P22" s="334"/>
    </row>
    <row r="23" spans="1:16" ht="25.5">
      <c r="A23" s="176">
        <v>300</v>
      </c>
      <c r="B23" s="325">
        <v>100</v>
      </c>
      <c r="C23" s="326">
        <v>300</v>
      </c>
      <c r="D23" s="326">
        <v>201</v>
      </c>
      <c r="E23" s="326">
        <v>0</v>
      </c>
      <c r="F23" s="326">
        <v>0</v>
      </c>
      <c r="G23" s="330" t="s">
        <v>2225</v>
      </c>
      <c r="H23" s="330" t="s">
        <v>2226</v>
      </c>
      <c r="I23" s="326" t="s">
        <v>569</v>
      </c>
      <c r="J23" s="326"/>
      <c r="K23" s="334">
        <f t="shared" si="0"/>
        <v>0</v>
      </c>
      <c r="L23" s="334">
        <v>0</v>
      </c>
      <c r="M23" s="334"/>
      <c r="N23" s="334">
        <f t="shared" si="1"/>
        <v>0</v>
      </c>
      <c r="O23" s="334">
        <v>0</v>
      </c>
      <c r="P23" s="334"/>
    </row>
    <row r="24" spans="1:16">
      <c r="A24" s="176">
        <v>300</v>
      </c>
      <c r="B24" s="325">
        <v>100</v>
      </c>
      <c r="C24" s="326">
        <v>300</v>
      </c>
      <c r="D24" s="326">
        <v>300</v>
      </c>
      <c r="E24" s="326">
        <v>0</v>
      </c>
      <c r="F24" s="326">
        <v>0</v>
      </c>
      <c r="G24" s="330" t="s">
        <v>2354</v>
      </c>
      <c r="H24" s="330" t="s">
        <v>570</v>
      </c>
      <c r="I24" s="326" t="s">
        <v>571</v>
      </c>
      <c r="J24" s="326"/>
      <c r="K24" s="334">
        <f t="shared" si="0"/>
        <v>1936260.76</v>
      </c>
      <c r="L24" s="334">
        <v>1936260.76</v>
      </c>
      <c r="M24" s="334"/>
      <c r="N24" s="334">
        <f t="shared" si="1"/>
        <v>3574819.38</v>
      </c>
      <c r="O24" s="334">
        <v>3574819.38</v>
      </c>
      <c r="P24" s="334"/>
    </row>
    <row r="25" spans="1:16" ht="25.5">
      <c r="A25" s="176">
        <v>300</v>
      </c>
      <c r="B25" s="325">
        <v>100</v>
      </c>
      <c r="C25" s="326">
        <v>300</v>
      </c>
      <c r="D25" s="326">
        <v>301</v>
      </c>
      <c r="E25" s="326">
        <v>0</v>
      </c>
      <c r="F25" s="326">
        <v>0</v>
      </c>
      <c r="G25" s="330" t="s">
        <v>2227</v>
      </c>
      <c r="H25" s="330" t="s">
        <v>2228</v>
      </c>
      <c r="I25" s="326" t="s">
        <v>571</v>
      </c>
      <c r="J25" s="326"/>
      <c r="K25" s="334">
        <f t="shared" si="0"/>
        <v>10983.74</v>
      </c>
      <c r="L25" s="334">
        <v>10983.74</v>
      </c>
      <c r="M25" s="334"/>
      <c r="N25" s="334">
        <f t="shared" si="1"/>
        <v>8939.83</v>
      </c>
      <c r="O25" s="334">
        <v>8939.83</v>
      </c>
      <c r="P25" s="334"/>
    </row>
    <row r="26" spans="1:16">
      <c r="A26" s="176">
        <v>300</v>
      </c>
      <c r="B26" s="325">
        <v>100</v>
      </c>
      <c r="C26" s="326">
        <v>400</v>
      </c>
      <c r="D26" s="326">
        <v>0</v>
      </c>
      <c r="E26" s="326">
        <v>0</v>
      </c>
      <c r="F26" s="326">
        <v>0</v>
      </c>
      <c r="G26" s="330" t="s">
        <v>2355</v>
      </c>
      <c r="H26" s="330" t="s">
        <v>572</v>
      </c>
      <c r="I26" s="326" t="s">
        <v>573</v>
      </c>
      <c r="J26" s="326"/>
      <c r="K26" s="334">
        <f t="shared" si="0"/>
        <v>2454.9699999999998</v>
      </c>
      <c r="L26" s="334">
        <v>2454.9699999999998</v>
      </c>
      <c r="M26" s="334"/>
      <c r="N26" s="334">
        <f t="shared" si="1"/>
        <v>1194.96</v>
      </c>
      <c r="O26" s="334">
        <v>1194.96</v>
      </c>
      <c r="P26" s="334"/>
    </row>
    <row r="27" spans="1:16" ht="25.5">
      <c r="A27" s="176">
        <v>300</v>
      </c>
      <c r="B27" s="325">
        <v>100</v>
      </c>
      <c r="C27" s="326">
        <v>401</v>
      </c>
      <c r="D27" s="326">
        <v>0</v>
      </c>
      <c r="E27" s="326">
        <v>0</v>
      </c>
      <c r="F27" s="326">
        <v>0</v>
      </c>
      <c r="G27" s="330" t="s">
        <v>2229</v>
      </c>
      <c r="H27" s="330" t="s">
        <v>2230</v>
      </c>
      <c r="I27" s="326" t="s">
        <v>573</v>
      </c>
      <c r="J27" s="326"/>
      <c r="K27" s="334">
        <f t="shared" si="0"/>
        <v>1061.8599999999999</v>
      </c>
      <c r="L27" s="334">
        <v>1061.8599999999999</v>
      </c>
      <c r="M27" s="334"/>
      <c r="N27" s="334">
        <f t="shared" si="1"/>
        <v>1256.6300000000001</v>
      </c>
      <c r="O27" s="334">
        <v>1256.6300000000001</v>
      </c>
      <c r="P27" s="334"/>
    </row>
    <row r="28" spans="1:16">
      <c r="A28" s="176">
        <v>300</v>
      </c>
      <c r="B28" s="325">
        <v>100</v>
      </c>
      <c r="C28" s="326">
        <v>500</v>
      </c>
      <c r="D28" s="326">
        <v>0</v>
      </c>
      <c r="E28" s="326">
        <v>0</v>
      </c>
      <c r="F28" s="326">
        <v>0</v>
      </c>
      <c r="G28" s="330" t="s">
        <v>2356</v>
      </c>
      <c r="H28" s="330" t="s">
        <v>574</v>
      </c>
      <c r="I28" s="326" t="s">
        <v>575</v>
      </c>
      <c r="J28" s="326"/>
      <c r="K28" s="334">
        <f t="shared" si="0"/>
        <v>0</v>
      </c>
      <c r="L28" s="334">
        <v>0</v>
      </c>
      <c r="M28" s="334"/>
      <c r="N28" s="334">
        <f t="shared" si="1"/>
        <v>0</v>
      </c>
      <c r="O28" s="334">
        <v>0</v>
      </c>
      <c r="P28" s="334"/>
    </row>
    <row r="29" spans="1:16" ht="25.5">
      <c r="A29" s="176">
        <v>300</v>
      </c>
      <c r="B29" s="325">
        <v>100</v>
      </c>
      <c r="C29" s="326">
        <v>501</v>
      </c>
      <c r="D29" s="326">
        <v>0</v>
      </c>
      <c r="E29" s="326">
        <v>0</v>
      </c>
      <c r="F29" s="326">
        <v>0</v>
      </c>
      <c r="G29" s="330" t="s">
        <v>2231</v>
      </c>
      <c r="H29" s="330" t="s">
        <v>2232</v>
      </c>
      <c r="I29" s="326" t="s">
        <v>575</v>
      </c>
      <c r="J29" s="326"/>
      <c r="K29" s="334">
        <f t="shared" si="0"/>
        <v>467.31</v>
      </c>
      <c r="L29" s="334">
        <v>467.31</v>
      </c>
      <c r="M29" s="334"/>
      <c r="N29" s="334">
        <f t="shared" si="1"/>
        <v>1169.93</v>
      </c>
      <c r="O29" s="334">
        <v>1169.93</v>
      </c>
      <c r="P29" s="334"/>
    </row>
    <row r="30" spans="1:16">
      <c r="A30" s="176">
        <v>300</v>
      </c>
      <c r="B30" s="325">
        <v>100</v>
      </c>
      <c r="C30" s="326">
        <v>600</v>
      </c>
      <c r="D30" s="326">
        <v>0</v>
      </c>
      <c r="E30" s="326">
        <v>0</v>
      </c>
      <c r="F30" s="326">
        <v>0</v>
      </c>
      <c r="G30" s="330" t="s">
        <v>2357</v>
      </c>
      <c r="H30" s="330" t="s">
        <v>576</v>
      </c>
      <c r="I30" s="326" t="s">
        <v>577</v>
      </c>
      <c r="J30" s="326"/>
      <c r="K30" s="334">
        <f t="shared" si="0"/>
        <v>33034.51</v>
      </c>
      <c r="L30" s="334">
        <v>33034.51</v>
      </c>
      <c r="M30" s="334"/>
      <c r="N30" s="334">
        <f t="shared" si="1"/>
        <v>52453.16</v>
      </c>
      <c r="O30" s="334">
        <v>52453.16</v>
      </c>
      <c r="P30" s="334"/>
    </row>
    <row r="31" spans="1:16" ht="25.5">
      <c r="A31" s="176">
        <v>300</v>
      </c>
      <c r="B31" s="325">
        <v>100</v>
      </c>
      <c r="C31" s="326">
        <v>601</v>
      </c>
      <c r="D31" s="326">
        <v>0</v>
      </c>
      <c r="E31" s="326">
        <v>0</v>
      </c>
      <c r="F31" s="326">
        <v>0</v>
      </c>
      <c r="G31" s="330" t="s">
        <v>2233</v>
      </c>
      <c r="H31" s="330" t="s">
        <v>2234</v>
      </c>
      <c r="I31" s="326" t="s">
        <v>577</v>
      </c>
      <c r="J31" s="326"/>
      <c r="K31" s="334">
        <f t="shared" si="0"/>
        <v>198.14</v>
      </c>
      <c r="L31" s="334">
        <v>198.14</v>
      </c>
      <c r="M31" s="334"/>
      <c r="N31" s="334">
        <f t="shared" si="1"/>
        <v>0</v>
      </c>
      <c r="O31" s="334">
        <v>0</v>
      </c>
      <c r="P31" s="334"/>
    </row>
    <row r="32" spans="1:16">
      <c r="A32" s="176">
        <v>300</v>
      </c>
      <c r="B32" s="325">
        <v>100</v>
      </c>
      <c r="C32" s="326">
        <v>700</v>
      </c>
      <c r="D32" s="326">
        <v>0</v>
      </c>
      <c r="E32" s="326">
        <v>0</v>
      </c>
      <c r="F32" s="326">
        <v>0</v>
      </c>
      <c r="G32" s="330" t="s">
        <v>2358</v>
      </c>
      <c r="H32" s="330" t="s">
        <v>578</v>
      </c>
      <c r="I32" s="326" t="s">
        <v>579</v>
      </c>
      <c r="J32" s="326"/>
      <c r="K32" s="334">
        <f t="shared" si="0"/>
        <v>0</v>
      </c>
      <c r="L32" s="334">
        <v>0</v>
      </c>
      <c r="M32" s="334"/>
      <c r="N32" s="334">
        <f t="shared" si="1"/>
        <v>0</v>
      </c>
      <c r="O32" s="334">
        <v>0</v>
      </c>
      <c r="P32" s="334"/>
    </row>
    <row r="33" spans="1:16" ht="25.5">
      <c r="A33" s="176">
        <v>300</v>
      </c>
      <c r="B33" s="325">
        <v>100</v>
      </c>
      <c r="C33" s="326">
        <v>701</v>
      </c>
      <c r="D33" s="326">
        <v>0</v>
      </c>
      <c r="E33" s="326">
        <v>0</v>
      </c>
      <c r="F33" s="326">
        <v>0</v>
      </c>
      <c r="G33" s="330" t="s">
        <v>2235</v>
      </c>
      <c r="H33" s="330" t="s">
        <v>2236</v>
      </c>
      <c r="I33" s="326" t="s">
        <v>579</v>
      </c>
      <c r="J33" s="326"/>
      <c r="K33" s="334">
        <f t="shared" si="0"/>
        <v>0</v>
      </c>
      <c r="L33" s="334">
        <v>0</v>
      </c>
      <c r="M33" s="334"/>
      <c r="N33" s="334">
        <f t="shared" si="1"/>
        <v>0</v>
      </c>
      <c r="O33" s="334">
        <v>0</v>
      </c>
      <c r="P33" s="334"/>
    </row>
    <row r="34" spans="1:16">
      <c r="A34" s="176">
        <v>300</v>
      </c>
      <c r="B34" s="325">
        <v>100</v>
      </c>
      <c r="C34" s="326">
        <v>800</v>
      </c>
      <c r="D34" s="326">
        <v>0</v>
      </c>
      <c r="E34" s="326">
        <v>0</v>
      </c>
      <c r="F34" s="326">
        <v>0</v>
      </c>
      <c r="G34" s="330" t="s">
        <v>2359</v>
      </c>
      <c r="H34" s="330" t="s">
        <v>580</v>
      </c>
      <c r="I34" s="326" t="s">
        <v>581</v>
      </c>
      <c r="J34" s="326"/>
      <c r="K34" s="334">
        <f t="shared" si="0"/>
        <v>1901518.35</v>
      </c>
      <c r="L34" s="334">
        <v>1901518.35</v>
      </c>
      <c r="M34" s="334"/>
      <c r="N34" s="334">
        <f t="shared" si="1"/>
        <v>713399.33</v>
      </c>
      <c r="O34" s="334">
        <v>713399.33</v>
      </c>
      <c r="P34" s="334"/>
    </row>
    <row r="35" spans="1:16" ht="25.5">
      <c r="A35" s="176">
        <v>300</v>
      </c>
      <c r="B35" s="325">
        <v>100</v>
      </c>
      <c r="C35" s="326">
        <v>801</v>
      </c>
      <c r="D35" s="326">
        <v>0</v>
      </c>
      <c r="E35" s="326">
        <v>0</v>
      </c>
      <c r="F35" s="326">
        <v>0</v>
      </c>
      <c r="G35" s="330" t="s">
        <v>2237</v>
      </c>
      <c r="H35" s="330" t="s">
        <v>2238</v>
      </c>
      <c r="I35" s="326" t="s">
        <v>581</v>
      </c>
      <c r="J35" s="325"/>
      <c r="K35" s="336">
        <f t="shared" si="0"/>
        <v>11743.28</v>
      </c>
      <c r="L35" s="336">
        <v>11743.28</v>
      </c>
      <c r="M35" s="336"/>
      <c r="N35" s="336">
        <f t="shared" si="1"/>
        <v>10897.45</v>
      </c>
      <c r="O35" s="336">
        <v>10897.45</v>
      </c>
      <c r="P35" s="336"/>
    </row>
    <row r="36" spans="1:16" ht="25.5">
      <c r="A36" s="176">
        <v>300</v>
      </c>
      <c r="B36" s="325">
        <v>100</v>
      </c>
      <c r="C36" s="326">
        <v>900</v>
      </c>
      <c r="D36" s="326">
        <v>0</v>
      </c>
      <c r="E36" s="326">
        <v>0</v>
      </c>
      <c r="F36" s="326">
        <v>0</v>
      </c>
      <c r="G36" s="331" t="s">
        <v>2239</v>
      </c>
      <c r="H36" s="331" t="s">
        <v>582</v>
      </c>
      <c r="I36" s="326" t="s">
        <v>583</v>
      </c>
      <c r="J36" s="325" t="s">
        <v>1529</v>
      </c>
      <c r="K36" s="335">
        <f t="shared" si="0"/>
        <v>0</v>
      </c>
      <c r="L36" s="335">
        <v>0</v>
      </c>
      <c r="M36" s="335"/>
      <c r="N36" s="335">
        <f t="shared" si="1"/>
        <v>0</v>
      </c>
      <c r="O36" s="335">
        <v>0</v>
      </c>
      <c r="P36" s="335"/>
    </row>
    <row r="37" spans="1:16" ht="25.5">
      <c r="A37" s="176">
        <v>300</v>
      </c>
      <c r="B37" s="325">
        <v>100</v>
      </c>
      <c r="C37" s="326">
        <v>900</v>
      </c>
      <c r="D37" s="326">
        <v>50</v>
      </c>
      <c r="E37" s="326">
        <v>0</v>
      </c>
      <c r="F37" s="326">
        <v>0</v>
      </c>
      <c r="G37" s="330" t="s">
        <v>2360</v>
      </c>
      <c r="H37" s="330" t="s">
        <v>541</v>
      </c>
      <c r="I37" s="326" t="s">
        <v>584</v>
      </c>
      <c r="J37" s="326" t="s">
        <v>1529</v>
      </c>
      <c r="K37" s="334">
        <f t="shared" si="0"/>
        <v>3005112.06</v>
      </c>
      <c r="L37" s="334">
        <v>3005112.06</v>
      </c>
      <c r="M37" s="334"/>
      <c r="N37" s="334">
        <f t="shared" si="1"/>
        <v>3028017.16</v>
      </c>
      <c r="O37" s="334">
        <v>3028017.16</v>
      </c>
      <c r="P37" s="334"/>
    </row>
    <row r="38" spans="1:16">
      <c r="A38" s="176">
        <v>300</v>
      </c>
      <c r="B38" s="325">
        <v>100</v>
      </c>
      <c r="C38" s="326">
        <v>900</v>
      </c>
      <c r="D38" s="326">
        <v>100</v>
      </c>
      <c r="E38" s="326">
        <v>0</v>
      </c>
      <c r="F38" s="326">
        <v>0</v>
      </c>
      <c r="G38" s="330" t="s">
        <v>2361</v>
      </c>
      <c r="H38" s="330" t="s">
        <v>544</v>
      </c>
      <c r="I38" s="326" t="s">
        <v>584</v>
      </c>
      <c r="J38" s="326" t="s">
        <v>1529</v>
      </c>
      <c r="K38" s="334">
        <f t="shared" si="0"/>
        <v>189027.93</v>
      </c>
      <c r="L38" s="334">
        <v>189027.93</v>
      </c>
      <c r="M38" s="334"/>
      <c r="N38" s="334">
        <f t="shared" si="1"/>
        <v>123343.75</v>
      </c>
      <c r="O38" s="334">
        <v>123343.75</v>
      </c>
      <c r="P38" s="334"/>
    </row>
    <row r="39" spans="1:16">
      <c r="A39" s="176">
        <v>300</v>
      </c>
      <c r="B39" s="325">
        <v>100</v>
      </c>
      <c r="C39" s="326">
        <v>900</v>
      </c>
      <c r="D39" s="326">
        <v>150</v>
      </c>
      <c r="E39" s="326">
        <v>0</v>
      </c>
      <c r="F39" s="326">
        <v>0</v>
      </c>
      <c r="G39" s="330" t="s">
        <v>2362</v>
      </c>
      <c r="H39" s="330" t="s">
        <v>548</v>
      </c>
      <c r="I39" s="326" t="s">
        <v>584</v>
      </c>
      <c r="J39" s="325" t="s">
        <v>1529</v>
      </c>
      <c r="K39" s="336">
        <f t="shared" si="0"/>
        <v>0</v>
      </c>
      <c r="L39" s="336">
        <v>0</v>
      </c>
      <c r="M39" s="336"/>
      <c r="N39" s="336">
        <f t="shared" si="1"/>
        <v>0</v>
      </c>
      <c r="O39" s="336">
        <v>0</v>
      </c>
      <c r="P39" s="336"/>
    </row>
    <row r="40" spans="1:16">
      <c r="A40" s="176">
        <v>300</v>
      </c>
      <c r="B40" s="325">
        <v>100</v>
      </c>
      <c r="C40" s="326">
        <v>900</v>
      </c>
      <c r="D40" s="326">
        <v>200</v>
      </c>
      <c r="E40" s="326">
        <v>0</v>
      </c>
      <c r="F40" s="326">
        <v>0</v>
      </c>
      <c r="G40" s="330" t="s">
        <v>2363</v>
      </c>
      <c r="H40" s="330" t="s">
        <v>566</v>
      </c>
      <c r="I40" s="326" t="s">
        <v>585</v>
      </c>
      <c r="J40" s="326" t="s">
        <v>1529</v>
      </c>
      <c r="K40" s="334">
        <f t="shared" si="0"/>
        <v>1798184.21</v>
      </c>
      <c r="L40" s="334">
        <v>1798184.21</v>
      </c>
      <c r="M40" s="334"/>
      <c r="N40" s="334">
        <f t="shared" si="1"/>
        <v>1598890.15</v>
      </c>
      <c r="O40" s="334">
        <v>1598890.15</v>
      </c>
      <c r="P40" s="334"/>
    </row>
    <row r="41" spans="1:16">
      <c r="A41" s="176">
        <v>300</v>
      </c>
      <c r="B41" s="325">
        <v>100</v>
      </c>
      <c r="C41" s="326">
        <v>900</v>
      </c>
      <c r="D41" s="326">
        <v>250</v>
      </c>
      <c r="E41" s="326">
        <v>0</v>
      </c>
      <c r="F41" s="326">
        <v>0</v>
      </c>
      <c r="G41" s="330" t="s">
        <v>2364</v>
      </c>
      <c r="H41" s="330" t="s">
        <v>568</v>
      </c>
      <c r="I41" s="326" t="s">
        <v>585</v>
      </c>
      <c r="J41" s="326" t="s">
        <v>1529</v>
      </c>
      <c r="K41" s="334">
        <f t="shared" si="0"/>
        <v>0</v>
      </c>
      <c r="L41" s="334">
        <v>0</v>
      </c>
      <c r="M41" s="334"/>
      <c r="N41" s="334">
        <f t="shared" si="1"/>
        <v>0</v>
      </c>
      <c r="O41" s="334">
        <v>0</v>
      </c>
      <c r="P41" s="334"/>
    </row>
    <row r="42" spans="1:16">
      <c r="A42" s="176">
        <v>300</v>
      </c>
      <c r="B42" s="325">
        <v>100</v>
      </c>
      <c r="C42" s="326">
        <v>900</v>
      </c>
      <c r="D42" s="326">
        <v>300</v>
      </c>
      <c r="E42" s="326">
        <v>0</v>
      </c>
      <c r="F42" s="326">
        <v>0</v>
      </c>
      <c r="G42" s="330" t="s">
        <v>2365</v>
      </c>
      <c r="H42" s="330" t="s">
        <v>570</v>
      </c>
      <c r="I42" s="326" t="s">
        <v>585</v>
      </c>
      <c r="J42" s="326" t="s">
        <v>1529</v>
      </c>
      <c r="K42" s="334">
        <f t="shared" si="0"/>
        <v>52046.68</v>
      </c>
      <c r="L42" s="334">
        <v>52046.68</v>
      </c>
      <c r="M42" s="334"/>
      <c r="N42" s="334">
        <f t="shared" si="1"/>
        <v>42808.25</v>
      </c>
      <c r="O42" s="334">
        <v>42808.25</v>
      </c>
      <c r="P42" s="334"/>
    </row>
    <row r="43" spans="1:16">
      <c r="A43" s="176">
        <v>300</v>
      </c>
      <c r="B43" s="325">
        <v>100</v>
      </c>
      <c r="C43" s="326">
        <v>900</v>
      </c>
      <c r="D43" s="326">
        <v>350</v>
      </c>
      <c r="E43" s="326">
        <v>0</v>
      </c>
      <c r="F43" s="326">
        <v>0</v>
      </c>
      <c r="G43" s="330" t="s">
        <v>2366</v>
      </c>
      <c r="H43" s="330" t="s">
        <v>572</v>
      </c>
      <c r="I43" s="326" t="s">
        <v>586</v>
      </c>
      <c r="J43" s="326" t="s">
        <v>1529</v>
      </c>
      <c r="K43" s="334">
        <f t="shared" si="0"/>
        <v>11263.45</v>
      </c>
      <c r="L43" s="334">
        <v>11263.45</v>
      </c>
      <c r="M43" s="334"/>
      <c r="N43" s="334">
        <f t="shared" si="1"/>
        <v>12327.81</v>
      </c>
      <c r="O43" s="334">
        <v>12327.81</v>
      </c>
      <c r="P43" s="334"/>
    </row>
    <row r="44" spans="1:16">
      <c r="A44" s="176">
        <v>300</v>
      </c>
      <c r="B44" s="325">
        <v>100</v>
      </c>
      <c r="C44" s="326">
        <v>900</v>
      </c>
      <c r="D44" s="326">
        <v>400</v>
      </c>
      <c r="E44" s="326">
        <v>0</v>
      </c>
      <c r="F44" s="326">
        <v>0</v>
      </c>
      <c r="G44" s="330" t="s">
        <v>2367</v>
      </c>
      <c r="H44" s="330" t="s">
        <v>574</v>
      </c>
      <c r="I44" s="326" t="s">
        <v>587</v>
      </c>
      <c r="J44" s="326" t="s">
        <v>1529</v>
      </c>
      <c r="K44" s="334">
        <f t="shared" si="0"/>
        <v>4673.2</v>
      </c>
      <c r="L44" s="334">
        <v>4673.2</v>
      </c>
      <c r="M44" s="334"/>
      <c r="N44" s="334">
        <f t="shared" si="1"/>
        <v>11697.9</v>
      </c>
      <c r="O44" s="334">
        <v>11697.9</v>
      </c>
      <c r="P44" s="334"/>
    </row>
    <row r="45" spans="1:16">
      <c r="A45" s="176">
        <v>300</v>
      </c>
      <c r="B45" s="325">
        <v>100</v>
      </c>
      <c r="C45" s="326">
        <v>900</v>
      </c>
      <c r="D45" s="326">
        <v>450</v>
      </c>
      <c r="E45" s="326">
        <v>0</v>
      </c>
      <c r="F45" s="326">
        <v>0</v>
      </c>
      <c r="G45" s="330" t="s">
        <v>2368</v>
      </c>
      <c r="H45" s="330" t="s">
        <v>576</v>
      </c>
      <c r="I45" s="326" t="s">
        <v>588</v>
      </c>
      <c r="J45" s="326" t="s">
        <v>1529</v>
      </c>
      <c r="K45" s="334">
        <f t="shared" si="0"/>
        <v>2210.4899999999998</v>
      </c>
      <c r="L45" s="334">
        <v>2210.4899999999998</v>
      </c>
      <c r="M45" s="334"/>
      <c r="N45" s="334">
        <f t="shared" si="1"/>
        <v>0</v>
      </c>
      <c r="O45" s="334">
        <v>0</v>
      </c>
      <c r="P45" s="334"/>
    </row>
    <row r="46" spans="1:16">
      <c r="A46" s="176">
        <v>300</v>
      </c>
      <c r="B46" s="325">
        <v>100</v>
      </c>
      <c r="C46" s="326">
        <v>900</v>
      </c>
      <c r="D46" s="326">
        <v>500</v>
      </c>
      <c r="E46" s="326">
        <v>0</v>
      </c>
      <c r="F46" s="326">
        <v>0</v>
      </c>
      <c r="G46" s="330" t="s">
        <v>2369</v>
      </c>
      <c r="H46" s="330" t="s">
        <v>578</v>
      </c>
      <c r="I46" s="326" t="s">
        <v>589</v>
      </c>
      <c r="J46" s="326" t="s">
        <v>1529</v>
      </c>
      <c r="K46" s="334">
        <f t="shared" si="0"/>
        <v>0</v>
      </c>
      <c r="L46" s="334">
        <v>0</v>
      </c>
      <c r="M46" s="334"/>
      <c r="N46" s="334">
        <f t="shared" si="1"/>
        <v>0</v>
      </c>
      <c r="O46" s="334">
        <v>0</v>
      </c>
      <c r="P46" s="334"/>
    </row>
    <row r="47" spans="1:16">
      <c r="A47" s="177">
        <v>300</v>
      </c>
      <c r="B47" s="326">
        <v>100</v>
      </c>
      <c r="C47" s="326">
        <v>900</v>
      </c>
      <c r="D47" s="326">
        <v>900</v>
      </c>
      <c r="E47" s="326">
        <v>0</v>
      </c>
      <c r="F47" s="326">
        <v>0</v>
      </c>
      <c r="G47" s="330" t="s">
        <v>2370</v>
      </c>
      <c r="H47" s="330" t="s">
        <v>590</v>
      </c>
      <c r="I47" s="326" t="s">
        <v>591</v>
      </c>
      <c r="J47" s="325" t="s">
        <v>1529</v>
      </c>
      <c r="K47" s="336">
        <f t="shared" si="0"/>
        <v>52913.13</v>
      </c>
      <c r="L47" s="336">
        <v>52913.13</v>
      </c>
      <c r="M47" s="336"/>
      <c r="N47" s="336">
        <f t="shared" si="1"/>
        <v>49799.75</v>
      </c>
      <c r="O47" s="336">
        <v>49799.75</v>
      </c>
      <c r="P47" s="336"/>
    </row>
    <row r="48" spans="1:16">
      <c r="A48" s="176">
        <v>300</v>
      </c>
      <c r="B48" s="325">
        <v>200</v>
      </c>
      <c r="C48" s="326">
        <v>0</v>
      </c>
      <c r="D48" s="326">
        <v>0</v>
      </c>
      <c r="E48" s="326">
        <v>0</v>
      </c>
      <c r="F48" s="326">
        <v>0</v>
      </c>
      <c r="G48" s="337" t="s">
        <v>2371</v>
      </c>
      <c r="H48" s="337" t="s">
        <v>592</v>
      </c>
      <c r="I48" s="326" t="s">
        <v>593</v>
      </c>
      <c r="J48" s="325"/>
      <c r="K48" s="335">
        <f t="shared" si="0"/>
        <v>0</v>
      </c>
      <c r="L48" s="335">
        <v>0</v>
      </c>
      <c r="M48" s="335"/>
      <c r="N48" s="335">
        <f t="shared" si="1"/>
        <v>0</v>
      </c>
      <c r="O48" s="335">
        <v>0</v>
      </c>
      <c r="P48" s="335"/>
    </row>
    <row r="49" spans="1:16">
      <c r="A49" s="176">
        <v>300</v>
      </c>
      <c r="B49" s="325">
        <v>200</v>
      </c>
      <c r="C49" s="326">
        <v>100</v>
      </c>
      <c r="D49" s="326">
        <v>0</v>
      </c>
      <c r="E49" s="326">
        <v>0</v>
      </c>
      <c r="F49" s="326">
        <v>0</v>
      </c>
      <c r="G49" s="330" t="s">
        <v>2372</v>
      </c>
      <c r="H49" s="330" t="s">
        <v>594</v>
      </c>
      <c r="I49" s="326" t="s">
        <v>595</v>
      </c>
      <c r="J49" s="326"/>
      <c r="K49" s="334">
        <f t="shared" si="0"/>
        <v>4303.92</v>
      </c>
      <c r="L49" s="334">
        <v>4303.92</v>
      </c>
      <c r="M49" s="334"/>
      <c r="N49" s="334">
        <f t="shared" si="1"/>
        <v>3579.65</v>
      </c>
      <c r="O49" s="334">
        <v>3579.65</v>
      </c>
      <c r="P49" s="334"/>
    </row>
    <row r="50" spans="1:16" ht="25.5">
      <c r="A50" s="176">
        <v>300</v>
      </c>
      <c r="B50" s="325">
        <v>200</v>
      </c>
      <c r="C50" s="326">
        <v>101</v>
      </c>
      <c r="D50" s="326">
        <v>0</v>
      </c>
      <c r="E50" s="326">
        <v>0</v>
      </c>
      <c r="F50" s="326">
        <v>0</v>
      </c>
      <c r="G50" s="330" t="s">
        <v>2240</v>
      </c>
      <c r="H50" s="330" t="s">
        <v>2241</v>
      </c>
      <c r="I50" s="326" t="s">
        <v>595</v>
      </c>
      <c r="J50" s="326"/>
      <c r="K50" s="334">
        <f t="shared" si="0"/>
        <v>675.76</v>
      </c>
      <c r="L50" s="334">
        <v>675.76</v>
      </c>
      <c r="M50" s="334"/>
      <c r="N50" s="334">
        <f t="shared" si="1"/>
        <v>2368.08</v>
      </c>
      <c r="O50" s="334">
        <v>2368.08</v>
      </c>
      <c r="P50" s="334"/>
    </row>
    <row r="51" spans="1:16" ht="25.5">
      <c r="A51" s="176">
        <v>300</v>
      </c>
      <c r="B51" s="325">
        <v>200</v>
      </c>
      <c r="C51" s="326">
        <v>200</v>
      </c>
      <c r="D51" s="326">
        <v>0</v>
      </c>
      <c r="E51" s="326">
        <v>0</v>
      </c>
      <c r="F51" s="326">
        <v>0</v>
      </c>
      <c r="G51" s="330" t="s">
        <v>2373</v>
      </c>
      <c r="H51" s="330" t="s">
        <v>596</v>
      </c>
      <c r="I51" s="326" t="s">
        <v>597</v>
      </c>
      <c r="J51" s="326"/>
      <c r="K51" s="334">
        <f t="shared" si="0"/>
        <v>12050.1</v>
      </c>
      <c r="L51" s="334">
        <v>12050.1</v>
      </c>
      <c r="M51" s="334"/>
      <c r="N51" s="334">
        <f t="shared" si="1"/>
        <v>17530.03</v>
      </c>
      <c r="O51" s="334">
        <v>17530.03</v>
      </c>
      <c r="P51" s="334"/>
    </row>
    <row r="52" spans="1:16" ht="25.5">
      <c r="A52" s="176">
        <v>300</v>
      </c>
      <c r="B52" s="325">
        <v>200</v>
      </c>
      <c r="C52" s="326">
        <v>201</v>
      </c>
      <c r="D52" s="326">
        <v>0</v>
      </c>
      <c r="E52" s="326">
        <v>0</v>
      </c>
      <c r="F52" s="326">
        <v>0</v>
      </c>
      <c r="G52" s="330" t="s">
        <v>2242</v>
      </c>
      <c r="H52" s="330" t="s">
        <v>2243</v>
      </c>
      <c r="I52" s="326" t="s">
        <v>597</v>
      </c>
      <c r="J52" s="326"/>
      <c r="K52" s="334">
        <f t="shared" si="0"/>
        <v>12391.99</v>
      </c>
      <c r="L52" s="334">
        <v>12391.99</v>
      </c>
      <c r="M52" s="334"/>
      <c r="N52" s="334">
        <f t="shared" si="1"/>
        <v>16606.05</v>
      </c>
      <c r="O52" s="334">
        <v>16606.05</v>
      </c>
      <c r="P52" s="334"/>
    </row>
    <row r="53" spans="1:16">
      <c r="A53" s="176">
        <v>300</v>
      </c>
      <c r="B53" s="325">
        <v>200</v>
      </c>
      <c r="C53" s="326">
        <v>300</v>
      </c>
      <c r="D53" s="326">
        <v>0</v>
      </c>
      <c r="E53" s="326">
        <v>0</v>
      </c>
      <c r="F53" s="326">
        <v>0</v>
      </c>
      <c r="G53" s="330" t="s">
        <v>2374</v>
      </c>
      <c r="H53" s="330" t="s">
        <v>598</v>
      </c>
      <c r="I53" s="326" t="s">
        <v>599</v>
      </c>
      <c r="J53" s="326"/>
      <c r="K53" s="334">
        <f t="shared" si="0"/>
        <v>6659.25</v>
      </c>
      <c r="L53" s="334">
        <v>6659.25</v>
      </c>
      <c r="M53" s="334"/>
      <c r="N53" s="334">
        <f t="shared" si="1"/>
        <v>7621.03</v>
      </c>
      <c r="O53" s="334">
        <v>7621.03</v>
      </c>
      <c r="P53" s="334"/>
    </row>
    <row r="54" spans="1:16" ht="25.5">
      <c r="A54" s="176">
        <v>300</v>
      </c>
      <c r="B54" s="325">
        <v>200</v>
      </c>
      <c r="C54" s="326">
        <v>301</v>
      </c>
      <c r="D54" s="326">
        <v>0</v>
      </c>
      <c r="E54" s="326">
        <v>0</v>
      </c>
      <c r="F54" s="326">
        <v>0</v>
      </c>
      <c r="G54" s="330" t="s">
        <v>2244</v>
      </c>
      <c r="H54" s="330" t="s">
        <v>2245</v>
      </c>
      <c r="I54" s="326" t="s">
        <v>599</v>
      </c>
      <c r="J54" s="325"/>
      <c r="K54" s="336">
        <f t="shared" si="0"/>
        <v>0</v>
      </c>
      <c r="L54" s="336">
        <v>0</v>
      </c>
      <c r="M54" s="336"/>
      <c r="N54" s="336">
        <f t="shared" si="1"/>
        <v>0</v>
      </c>
      <c r="O54" s="336">
        <v>0</v>
      </c>
      <c r="P54" s="336"/>
    </row>
    <row r="55" spans="1:16">
      <c r="A55" s="176">
        <v>300</v>
      </c>
      <c r="B55" s="325">
        <v>200</v>
      </c>
      <c r="C55" s="326">
        <v>400</v>
      </c>
      <c r="D55" s="326">
        <v>0</v>
      </c>
      <c r="E55" s="326">
        <v>0</v>
      </c>
      <c r="F55" s="326">
        <v>0</v>
      </c>
      <c r="G55" s="331" t="s">
        <v>2375</v>
      </c>
      <c r="H55" s="331" t="s">
        <v>600</v>
      </c>
      <c r="I55" s="326" t="s">
        <v>601</v>
      </c>
      <c r="J55" s="325"/>
      <c r="K55" s="335">
        <f t="shared" si="0"/>
        <v>0</v>
      </c>
      <c r="L55" s="335">
        <v>0</v>
      </c>
      <c r="M55" s="335"/>
      <c r="N55" s="335">
        <f t="shared" si="1"/>
        <v>0</v>
      </c>
      <c r="O55" s="335">
        <v>0</v>
      </c>
      <c r="P55" s="335"/>
    </row>
    <row r="56" spans="1:16">
      <c r="A56" s="176">
        <v>300</v>
      </c>
      <c r="B56" s="325">
        <v>200</v>
      </c>
      <c r="C56" s="326">
        <v>400</v>
      </c>
      <c r="D56" s="326">
        <v>100</v>
      </c>
      <c r="E56" s="326">
        <v>0</v>
      </c>
      <c r="F56" s="326">
        <v>0</v>
      </c>
      <c r="G56" s="330" t="s">
        <v>2376</v>
      </c>
      <c r="H56" s="330" t="s">
        <v>602</v>
      </c>
      <c r="I56" s="338"/>
      <c r="J56" s="338"/>
      <c r="K56" s="334">
        <f t="shared" si="0"/>
        <v>125056</v>
      </c>
      <c r="L56" s="334">
        <v>125056</v>
      </c>
      <c r="M56" s="334"/>
      <c r="N56" s="334">
        <f t="shared" si="1"/>
        <v>106669.1</v>
      </c>
      <c r="O56" s="334">
        <v>106669.1</v>
      </c>
      <c r="P56" s="334"/>
    </row>
    <row r="57" spans="1:16">
      <c r="A57" s="176">
        <v>300</v>
      </c>
      <c r="B57" s="325">
        <v>200</v>
      </c>
      <c r="C57" s="326">
        <v>400</v>
      </c>
      <c r="D57" s="326">
        <v>200</v>
      </c>
      <c r="E57" s="326">
        <v>0</v>
      </c>
      <c r="F57" s="326">
        <v>0</v>
      </c>
      <c r="G57" s="330" t="s">
        <v>2377</v>
      </c>
      <c r="H57" s="330" t="s">
        <v>603</v>
      </c>
      <c r="I57" s="338"/>
      <c r="J57" s="338"/>
      <c r="K57" s="334">
        <f t="shared" si="0"/>
        <v>6536.02</v>
      </c>
      <c r="L57" s="334">
        <v>6536.02</v>
      </c>
      <c r="M57" s="334"/>
      <c r="N57" s="334">
        <f t="shared" si="1"/>
        <v>7715.06</v>
      </c>
      <c r="O57" s="334">
        <v>7715.06</v>
      </c>
      <c r="P57" s="334"/>
    </row>
    <row r="58" spans="1:16">
      <c r="A58" s="176">
        <v>300</v>
      </c>
      <c r="B58" s="325">
        <v>200</v>
      </c>
      <c r="C58" s="326">
        <v>400</v>
      </c>
      <c r="D58" s="326">
        <v>300</v>
      </c>
      <c r="E58" s="326">
        <v>0</v>
      </c>
      <c r="F58" s="326">
        <v>0</v>
      </c>
      <c r="G58" s="330" t="s">
        <v>2378</v>
      </c>
      <c r="H58" s="330" t="s">
        <v>604</v>
      </c>
      <c r="I58" s="338"/>
      <c r="J58" s="338"/>
      <c r="K58" s="334">
        <f t="shared" si="0"/>
        <v>18326.66</v>
      </c>
      <c r="L58" s="334">
        <v>18326.66</v>
      </c>
      <c r="M58" s="334"/>
      <c r="N58" s="334">
        <f t="shared" si="1"/>
        <v>27143.9</v>
      </c>
      <c r="O58" s="334">
        <v>27143.9</v>
      </c>
      <c r="P58" s="334"/>
    </row>
    <row r="59" spans="1:16" ht="25.5">
      <c r="A59" s="176">
        <v>300</v>
      </c>
      <c r="B59" s="325">
        <v>200</v>
      </c>
      <c r="C59" s="326">
        <v>400</v>
      </c>
      <c r="D59" s="326">
        <v>400</v>
      </c>
      <c r="E59" s="326">
        <v>0</v>
      </c>
      <c r="F59" s="326">
        <v>0</v>
      </c>
      <c r="G59" s="330" t="s">
        <v>2246</v>
      </c>
      <c r="H59" s="330" t="s">
        <v>2247</v>
      </c>
      <c r="I59" s="338"/>
      <c r="J59" s="353"/>
      <c r="K59" s="336">
        <f t="shared" si="0"/>
        <v>15552.86</v>
      </c>
      <c r="L59" s="336">
        <v>15552.86</v>
      </c>
      <c r="M59" s="336"/>
      <c r="N59" s="336">
        <f t="shared" si="1"/>
        <v>16746.73</v>
      </c>
      <c r="O59" s="336">
        <v>16746.73</v>
      </c>
      <c r="P59" s="336"/>
    </row>
    <row r="60" spans="1:16">
      <c r="A60" s="176">
        <v>300</v>
      </c>
      <c r="B60" s="325">
        <v>200</v>
      </c>
      <c r="C60" s="326">
        <v>500</v>
      </c>
      <c r="D60" s="326">
        <v>0</v>
      </c>
      <c r="E60" s="326">
        <v>0</v>
      </c>
      <c r="F60" s="326">
        <v>0</v>
      </c>
      <c r="G60" s="331" t="s">
        <v>2379</v>
      </c>
      <c r="H60" s="331" t="s">
        <v>605</v>
      </c>
      <c r="I60" s="326" t="s">
        <v>606</v>
      </c>
      <c r="J60" s="325"/>
      <c r="K60" s="335">
        <f t="shared" si="0"/>
        <v>0</v>
      </c>
      <c r="L60" s="335">
        <v>0</v>
      </c>
      <c r="M60" s="335"/>
      <c r="N60" s="335">
        <f t="shared" si="1"/>
        <v>0</v>
      </c>
      <c r="O60" s="335">
        <v>0</v>
      </c>
      <c r="P60" s="335"/>
    </row>
    <row r="61" spans="1:16">
      <c r="A61" s="176">
        <v>300</v>
      </c>
      <c r="B61" s="325">
        <v>200</v>
      </c>
      <c r="C61" s="326">
        <v>500</v>
      </c>
      <c r="D61" s="326">
        <v>100</v>
      </c>
      <c r="E61" s="326">
        <v>0</v>
      </c>
      <c r="F61" s="326">
        <v>0</v>
      </c>
      <c r="G61" s="330" t="s">
        <v>2380</v>
      </c>
      <c r="H61" s="330" t="s">
        <v>607</v>
      </c>
      <c r="I61" s="178"/>
      <c r="J61" s="178"/>
      <c r="K61" s="334">
        <f t="shared" si="0"/>
        <v>7566.57</v>
      </c>
      <c r="L61" s="334">
        <v>7566.57</v>
      </c>
      <c r="M61" s="334"/>
      <c r="N61" s="334">
        <f t="shared" si="1"/>
        <v>9309.5300000000007</v>
      </c>
      <c r="O61" s="334">
        <v>9309.5300000000007</v>
      </c>
      <c r="P61" s="334"/>
    </row>
    <row r="62" spans="1:16">
      <c r="A62" s="176">
        <v>300</v>
      </c>
      <c r="B62" s="325">
        <v>200</v>
      </c>
      <c r="C62" s="326">
        <v>500</v>
      </c>
      <c r="D62" s="326">
        <v>200</v>
      </c>
      <c r="E62" s="326">
        <v>0</v>
      </c>
      <c r="F62" s="326">
        <v>0</v>
      </c>
      <c r="G62" s="330" t="s">
        <v>2381</v>
      </c>
      <c r="H62" s="330" t="s">
        <v>608</v>
      </c>
      <c r="I62" s="178"/>
      <c r="J62" s="178"/>
      <c r="K62" s="334">
        <f t="shared" si="0"/>
        <v>4315.24</v>
      </c>
      <c r="L62" s="334">
        <v>4315.24</v>
      </c>
      <c r="M62" s="334"/>
      <c r="N62" s="334">
        <f t="shared" si="1"/>
        <v>2121.21</v>
      </c>
      <c r="O62" s="334">
        <v>2121.21</v>
      </c>
      <c r="P62" s="334"/>
    </row>
    <row r="63" spans="1:16" ht="25.5">
      <c r="A63" s="176">
        <v>300</v>
      </c>
      <c r="B63" s="325">
        <v>200</v>
      </c>
      <c r="C63" s="326">
        <v>500</v>
      </c>
      <c r="D63" s="326">
        <v>300</v>
      </c>
      <c r="E63" s="326">
        <v>0</v>
      </c>
      <c r="F63" s="326">
        <v>0</v>
      </c>
      <c r="G63" s="330" t="s">
        <v>2248</v>
      </c>
      <c r="H63" s="330" t="s">
        <v>2249</v>
      </c>
      <c r="I63" s="178"/>
      <c r="J63" s="178"/>
      <c r="K63" s="334">
        <f t="shared" si="0"/>
        <v>321.2</v>
      </c>
      <c r="L63" s="334">
        <v>321.2</v>
      </c>
      <c r="M63" s="334"/>
      <c r="N63" s="334">
        <f t="shared" si="1"/>
        <v>0</v>
      </c>
      <c r="O63" s="334">
        <v>0</v>
      </c>
      <c r="P63" s="334"/>
    </row>
    <row r="64" spans="1:16">
      <c r="A64" s="176">
        <v>300</v>
      </c>
      <c r="B64" s="325">
        <v>200</v>
      </c>
      <c r="C64" s="326">
        <v>600</v>
      </c>
      <c r="D64" s="326">
        <v>0</v>
      </c>
      <c r="E64" s="326">
        <v>0</v>
      </c>
      <c r="F64" s="326">
        <v>0</v>
      </c>
      <c r="G64" s="330" t="s">
        <v>2382</v>
      </c>
      <c r="H64" s="330" t="s">
        <v>609</v>
      </c>
      <c r="I64" s="326" t="s">
        <v>610</v>
      </c>
      <c r="J64" s="326"/>
      <c r="K64" s="334">
        <f t="shared" si="0"/>
        <v>59432.13</v>
      </c>
      <c r="L64" s="334">
        <v>59432.13</v>
      </c>
      <c r="M64" s="334"/>
      <c r="N64" s="334">
        <f t="shared" si="1"/>
        <v>97655.8</v>
      </c>
      <c r="O64" s="334">
        <v>97655.8</v>
      </c>
      <c r="P64" s="334"/>
    </row>
    <row r="65" spans="1:16" ht="25.5">
      <c r="A65" s="176">
        <v>300</v>
      </c>
      <c r="B65" s="325">
        <v>200</v>
      </c>
      <c r="C65" s="326">
        <v>601</v>
      </c>
      <c r="D65" s="326">
        <v>0</v>
      </c>
      <c r="E65" s="326">
        <v>0</v>
      </c>
      <c r="F65" s="326">
        <v>0</v>
      </c>
      <c r="G65" s="330" t="s">
        <v>2250</v>
      </c>
      <c r="H65" s="330" t="s">
        <v>2251</v>
      </c>
      <c r="I65" s="326" t="s">
        <v>610</v>
      </c>
      <c r="J65" s="325"/>
      <c r="K65" s="336">
        <f t="shared" si="0"/>
        <v>267.12</v>
      </c>
      <c r="L65" s="336">
        <v>267.12</v>
      </c>
      <c r="M65" s="336"/>
      <c r="N65" s="336">
        <f t="shared" si="1"/>
        <v>335.98</v>
      </c>
      <c r="O65" s="336">
        <v>335.98</v>
      </c>
      <c r="P65" s="336"/>
    </row>
    <row r="66" spans="1:16" ht="25.5">
      <c r="A66" s="176">
        <v>300</v>
      </c>
      <c r="B66" s="325">
        <v>200</v>
      </c>
      <c r="C66" s="326">
        <v>700</v>
      </c>
      <c r="D66" s="326">
        <v>0</v>
      </c>
      <c r="E66" s="326">
        <v>0</v>
      </c>
      <c r="F66" s="326">
        <v>0</v>
      </c>
      <c r="G66" s="331" t="s">
        <v>2383</v>
      </c>
      <c r="H66" s="331" t="s">
        <v>611</v>
      </c>
      <c r="I66" s="326" t="s">
        <v>612</v>
      </c>
      <c r="J66" s="325" t="s">
        <v>1529</v>
      </c>
      <c r="K66" s="335">
        <f t="shared" si="0"/>
        <v>0</v>
      </c>
      <c r="L66" s="335">
        <v>0</v>
      </c>
      <c r="M66" s="335"/>
      <c r="N66" s="335">
        <f t="shared" si="1"/>
        <v>0</v>
      </c>
      <c r="O66" s="335">
        <v>0</v>
      </c>
      <c r="P66" s="335"/>
    </row>
    <row r="67" spans="1:16">
      <c r="A67" s="176">
        <v>300</v>
      </c>
      <c r="B67" s="325">
        <v>200</v>
      </c>
      <c r="C67" s="326">
        <v>700</v>
      </c>
      <c r="D67" s="326">
        <v>100</v>
      </c>
      <c r="E67" s="326">
        <v>0</v>
      </c>
      <c r="F67" s="326">
        <v>0</v>
      </c>
      <c r="G67" s="330" t="s">
        <v>2384</v>
      </c>
      <c r="H67" s="330" t="s">
        <v>594</v>
      </c>
      <c r="I67" s="326"/>
      <c r="J67" s="326" t="s">
        <v>1529</v>
      </c>
      <c r="K67" s="334">
        <f t="shared" si="0"/>
        <v>3533.52</v>
      </c>
      <c r="L67" s="334">
        <v>3533.52</v>
      </c>
      <c r="M67" s="334"/>
      <c r="N67" s="334">
        <f t="shared" si="1"/>
        <v>12113.45</v>
      </c>
      <c r="O67" s="334">
        <v>12113.45</v>
      </c>
      <c r="P67" s="334"/>
    </row>
    <row r="68" spans="1:16" ht="25.5">
      <c r="A68" s="176">
        <v>300</v>
      </c>
      <c r="B68" s="325">
        <v>200</v>
      </c>
      <c r="C68" s="326">
        <v>700</v>
      </c>
      <c r="D68" s="326">
        <v>200</v>
      </c>
      <c r="E68" s="326">
        <v>0</v>
      </c>
      <c r="F68" s="326">
        <v>0</v>
      </c>
      <c r="G68" s="330" t="s">
        <v>2385</v>
      </c>
      <c r="H68" s="330" t="s">
        <v>596</v>
      </c>
      <c r="I68" s="326"/>
      <c r="J68" s="326" t="s">
        <v>1529</v>
      </c>
      <c r="K68" s="334">
        <f t="shared" si="0"/>
        <v>65730.789999999994</v>
      </c>
      <c r="L68" s="334">
        <v>65730.789999999994</v>
      </c>
      <c r="M68" s="334"/>
      <c r="N68" s="334">
        <f t="shared" si="1"/>
        <v>87109</v>
      </c>
      <c r="O68" s="334">
        <v>87109</v>
      </c>
      <c r="P68" s="334"/>
    </row>
    <row r="69" spans="1:16">
      <c r="A69" s="176">
        <v>300</v>
      </c>
      <c r="B69" s="325">
        <v>200</v>
      </c>
      <c r="C69" s="326">
        <v>700</v>
      </c>
      <c r="D69" s="326">
        <v>300</v>
      </c>
      <c r="E69" s="326">
        <v>0</v>
      </c>
      <c r="F69" s="326">
        <v>0</v>
      </c>
      <c r="G69" s="330" t="s">
        <v>2386</v>
      </c>
      <c r="H69" s="330" t="s">
        <v>598</v>
      </c>
      <c r="I69" s="326"/>
      <c r="J69" s="326" t="s">
        <v>1529</v>
      </c>
      <c r="K69" s="334">
        <f t="shared" si="0"/>
        <v>0</v>
      </c>
      <c r="L69" s="334">
        <v>0</v>
      </c>
      <c r="M69" s="334"/>
      <c r="N69" s="334">
        <f t="shared" si="1"/>
        <v>0</v>
      </c>
      <c r="O69" s="334">
        <v>0</v>
      </c>
      <c r="P69" s="334"/>
    </row>
    <row r="70" spans="1:16">
      <c r="A70" s="176">
        <v>300</v>
      </c>
      <c r="B70" s="325">
        <v>200</v>
      </c>
      <c r="C70" s="326">
        <v>700</v>
      </c>
      <c r="D70" s="326">
        <v>400</v>
      </c>
      <c r="E70" s="326">
        <v>0</v>
      </c>
      <c r="F70" s="326">
        <v>0</v>
      </c>
      <c r="G70" s="330" t="s">
        <v>2387</v>
      </c>
      <c r="H70" s="330" t="s">
        <v>600</v>
      </c>
      <c r="I70" s="326"/>
      <c r="J70" s="326" t="s">
        <v>1529</v>
      </c>
      <c r="K70" s="334">
        <f t="shared" si="0"/>
        <v>70602.960000000006</v>
      </c>
      <c r="L70" s="334">
        <v>70602.960000000006</v>
      </c>
      <c r="M70" s="334"/>
      <c r="N70" s="334">
        <f t="shared" si="1"/>
        <v>76376.81</v>
      </c>
      <c r="O70" s="334">
        <v>76376.81</v>
      </c>
      <c r="P70" s="334"/>
    </row>
    <row r="71" spans="1:16">
      <c r="A71" s="176">
        <v>300</v>
      </c>
      <c r="B71" s="325">
        <v>200</v>
      </c>
      <c r="C71" s="326">
        <v>700</v>
      </c>
      <c r="D71" s="326">
        <v>500</v>
      </c>
      <c r="E71" s="326">
        <v>0</v>
      </c>
      <c r="F71" s="326">
        <v>0</v>
      </c>
      <c r="G71" s="330" t="s">
        <v>2388</v>
      </c>
      <c r="H71" s="330" t="s">
        <v>605</v>
      </c>
      <c r="I71" s="326"/>
      <c r="J71" s="326" t="s">
        <v>1529</v>
      </c>
      <c r="K71" s="334">
        <f t="shared" ref="K71:K134" si="2">+L71+M71</f>
        <v>1460</v>
      </c>
      <c r="L71" s="334">
        <v>1460</v>
      </c>
      <c r="M71" s="334"/>
      <c r="N71" s="334">
        <f t="shared" ref="N71:N134" si="3">+O71+P71</f>
        <v>0</v>
      </c>
      <c r="O71" s="334">
        <v>0</v>
      </c>
      <c r="P71" s="334"/>
    </row>
    <row r="72" spans="1:16" ht="25.5">
      <c r="A72" s="177">
        <v>300</v>
      </c>
      <c r="B72" s="326">
        <v>200</v>
      </c>
      <c r="C72" s="326">
        <v>700</v>
      </c>
      <c r="D72" s="326">
        <v>900</v>
      </c>
      <c r="E72" s="326">
        <v>0</v>
      </c>
      <c r="F72" s="326">
        <v>0</v>
      </c>
      <c r="G72" s="330" t="s">
        <v>2389</v>
      </c>
      <c r="H72" s="330" t="s">
        <v>613</v>
      </c>
      <c r="I72" s="332"/>
      <c r="J72" s="332" t="s">
        <v>1529</v>
      </c>
      <c r="K72" s="334">
        <f t="shared" si="2"/>
        <v>1213.8800000000001</v>
      </c>
      <c r="L72" s="334">
        <v>1213.8800000000001</v>
      </c>
      <c r="M72" s="334"/>
      <c r="N72" s="334">
        <f t="shared" si="3"/>
        <v>1526.61</v>
      </c>
      <c r="O72" s="334">
        <v>1526.61</v>
      </c>
      <c r="P72" s="334"/>
    </row>
    <row r="73" spans="1:16">
      <c r="A73" s="403">
        <v>305</v>
      </c>
      <c r="B73" s="404">
        <v>0</v>
      </c>
      <c r="C73" s="404">
        <v>0</v>
      </c>
      <c r="D73" s="404">
        <v>0</v>
      </c>
      <c r="E73" s="404">
        <v>0</v>
      </c>
      <c r="F73" s="404">
        <v>0</v>
      </c>
      <c r="G73" s="339">
        <v>305</v>
      </c>
      <c r="H73" s="339" t="s">
        <v>614</v>
      </c>
      <c r="I73" s="55" t="s">
        <v>615</v>
      </c>
      <c r="J73" s="55"/>
      <c r="K73" s="335">
        <f t="shared" si="2"/>
        <v>0</v>
      </c>
      <c r="L73" s="335">
        <v>0</v>
      </c>
      <c r="M73" s="335"/>
      <c r="N73" s="335">
        <f t="shared" si="3"/>
        <v>0</v>
      </c>
      <c r="O73" s="335">
        <v>0</v>
      </c>
      <c r="P73" s="335"/>
    </row>
    <row r="74" spans="1:16">
      <c r="A74" s="177">
        <v>305</v>
      </c>
      <c r="B74" s="326">
        <v>100</v>
      </c>
      <c r="C74" s="326">
        <v>0</v>
      </c>
      <c r="D74" s="326">
        <v>0</v>
      </c>
      <c r="E74" s="326">
        <v>0</v>
      </c>
      <c r="F74" s="326">
        <v>0</v>
      </c>
      <c r="G74" s="331" t="s">
        <v>2390</v>
      </c>
      <c r="H74" s="331" t="s">
        <v>616</v>
      </c>
      <c r="I74" s="326" t="s">
        <v>617</v>
      </c>
      <c r="J74" s="325"/>
      <c r="K74" s="335">
        <f t="shared" si="2"/>
        <v>0</v>
      </c>
      <c r="L74" s="335">
        <v>0</v>
      </c>
      <c r="M74" s="335"/>
      <c r="N74" s="335">
        <f t="shared" si="3"/>
        <v>0</v>
      </c>
      <c r="O74" s="335">
        <v>0</v>
      </c>
      <c r="P74" s="335"/>
    </row>
    <row r="75" spans="1:16">
      <c r="A75" s="177">
        <v>305</v>
      </c>
      <c r="B75" s="326">
        <v>100</v>
      </c>
      <c r="C75" s="326">
        <v>50</v>
      </c>
      <c r="D75" s="326">
        <v>0</v>
      </c>
      <c r="E75" s="326">
        <v>0</v>
      </c>
      <c r="F75" s="326">
        <v>0</v>
      </c>
      <c r="G75" s="331" t="s">
        <v>2391</v>
      </c>
      <c r="H75" s="331" t="s">
        <v>618</v>
      </c>
      <c r="I75" s="326" t="s">
        <v>619</v>
      </c>
      <c r="J75" s="325"/>
      <c r="K75" s="335">
        <f t="shared" si="2"/>
        <v>0</v>
      </c>
      <c r="L75" s="335">
        <v>0</v>
      </c>
      <c r="M75" s="335"/>
      <c r="N75" s="335">
        <f t="shared" si="3"/>
        <v>0</v>
      </c>
      <c r="O75" s="335">
        <v>0</v>
      </c>
      <c r="P75" s="335"/>
    </row>
    <row r="76" spans="1:16">
      <c r="A76" s="177">
        <v>305</v>
      </c>
      <c r="B76" s="326">
        <v>100</v>
      </c>
      <c r="C76" s="326">
        <v>50</v>
      </c>
      <c r="D76" s="326">
        <v>100</v>
      </c>
      <c r="E76" s="326">
        <v>0</v>
      </c>
      <c r="F76" s="326">
        <v>0</v>
      </c>
      <c r="G76" s="340" t="s">
        <v>2392</v>
      </c>
      <c r="H76" s="340" t="s">
        <v>620</v>
      </c>
      <c r="I76" s="326" t="s">
        <v>621</v>
      </c>
      <c r="J76" s="325"/>
      <c r="K76" s="335">
        <f t="shared" si="2"/>
        <v>0</v>
      </c>
      <c r="L76" s="335">
        <v>0</v>
      </c>
      <c r="M76" s="335"/>
      <c r="N76" s="335">
        <f t="shared" si="3"/>
        <v>0</v>
      </c>
      <c r="O76" s="335">
        <v>0</v>
      </c>
      <c r="P76" s="335"/>
    </row>
    <row r="77" spans="1:16">
      <c r="A77" s="177">
        <v>305</v>
      </c>
      <c r="B77" s="326">
        <v>100</v>
      </c>
      <c r="C77" s="326">
        <v>50</v>
      </c>
      <c r="D77" s="326">
        <v>100</v>
      </c>
      <c r="E77" s="326">
        <v>10</v>
      </c>
      <c r="F77" s="326">
        <v>0</v>
      </c>
      <c r="G77" s="331" t="s">
        <v>2393</v>
      </c>
      <c r="H77" s="331" t="s">
        <v>622</v>
      </c>
      <c r="I77" s="326" t="s">
        <v>623</v>
      </c>
      <c r="J77" s="325"/>
      <c r="K77" s="335">
        <f t="shared" si="2"/>
        <v>0</v>
      </c>
      <c r="L77" s="335">
        <v>0</v>
      </c>
      <c r="M77" s="335"/>
      <c r="N77" s="335">
        <f t="shared" si="3"/>
        <v>0</v>
      </c>
      <c r="O77" s="335">
        <v>0</v>
      </c>
      <c r="P77" s="335"/>
    </row>
    <row r="78" spans="1:16">
      <c r="A78" s="177">
        <v>305</v>
      </c>
      <c r="B78" s="326">
        <v>100</v>
      </c>
      <c r="C78" s="326">
        <v>50</v>
      </c>
      <c r="D78" s="326">
        <v>100</v>
      </c>
      <c r="E78" s="326">
        <v>10</v>
      </c>
      <c r="F78" s="326">
        <v>5</v>
      </c>
      <c r="G78" s="330" t="s">
        <v>2394</v>
      </c>
      <c r="H78" s="330" t="s">
        <v>624</v>
      </c>
      <c r="I78" s="326"/>
      <c r="J78" s="326"/>
      <c r="K78" s="334">
        <f t="shared" si="2"/>
        <v>0</v>
      </c>
      <c r="L78" s="334">
        <v>0</v>
      </c>
      <c r="M78" s="334"/>
      <c r="N78" s="334">
        <f t="shared" si="3"/>
        <v>0</v>
      </c>
      <c r="O78" s="334">
        <v>0</v>
      </c>
      <c r="P78" s="334"/>
    </row>
    <row r="79" spans="1:16">
      <c r="A79" s="177">
        <v>305</v>
      </c>
      <c r="B79" s="326">
        <v>100</v>
      </c>
      <c r="C79" s="326">
        <v>50</v>
      </c>
      <c r="D79" s="326">
        <v>100</v>
      </c>
      <c r="E79" s="326">
        <v>10</v>
      </c>
      <c r="F79" s="326">
        <v>10</v>
      </c>
      <c r="G79" s="330" t="s">
        <v>2395</v>
      </c>
      <c r="H79" s="330" t="s">
        <v>625</v>
      </c>
      <c r="I79" s="326"/>
      <c r="J79" s="326"/>
      <c r="K79" s="334">
        <f t="shared" si="2"/>
        <v>0</v>
      </c>
      <c r="L79" s="334">
        <v>0</v>
      </c>
      <c r="M79" s="334"/>
      <c r="N79" s="334">
        <f t="shared" si="3"/>
        <v>0</v>
      </c>
      <c r="O79" s="334">
        <v>0</v>
      </c>
      <c r="P79" s="334"/>
    </row>
    <row r="80" spans="1:16">
      <c r="A80" s="177">
        <v>305</v>
      </c>
      <c r="B80" s="326">
        <v>100</v>
      </c>
      <c r="C80" s="326">
        <v>50</v>
      </c>
      <c r="D80" s="326">
        <v>100</v>
      </c>
      <c r="E80" s="326">
        <v>10</v>
      </c>
      <c r="F80" s="326">
        <v>15</v>
      </c>
      <c r="G80" s="330" t="s">
        <v>2396</v>
      </c>
      <c r="H80" s="330" t="s">
        <v>626</v>
      </c>
      <c r="I80" s="326"/>
      <c r="J80" s="326"/>
      <c r="K80" s="334">
        <f t="shared" si="2"/>
        <v>0</v>
      </c>
      <c r="L80" s="334">
        <v>0</v>
      </c>
      <c r="M80" s="334"/>
      <c r="N80" s="334">
        <f t="shared" si="3"/>
        <v>0</v>
      </c>
      <c r="O80" s="334">
        <v>0</v>
      </c>
      <c r="P80" s="334"/>
    </row>
    <row r="81" spans="1:16">
      <c r="A81" s="177">
        <v>305</v>
      </c>
      <c r="B81" s="326">
        <v>100</v>
      </c>
      <c r="C81" s="326">
        <v>50</v>
      </c>
      <c r="D81" s="326">
        <v>100</v>
      </c>
      <c r="E81" s="326">
        <v>10</v>
      </c>
      <c r="F81" s="326">
        <v>20</v>
      </c>
      <c r="G81" s="330" t="s">
        <v>2397</v>
      </c>
      <c r="H81" s="330" t="s">
        <v>627</v>
      </c>
      <c r="I81" s="326"/>
      <c r="J81" s="326"/>
      <c r="K81" s="341">
        <f t="shared" si="2"/>
        <v>0</v>
      </c>
      <c r="L81" s="341">
        <v>0</v>
      </c>
      <c r="M81" s="341"/>
      <c r="N81" s="341">
        <f t="shared" si="3"/>
        <v>0</v>
      </c>
      <c r="O81" s="341">
        <v>0</v>
      </c>
      <c r="P81" s="341"/>
    </row>
    <row r="82" spans="1:16">
      <c r="A82" s="177">
        <v>305</v>
      </c>
      <c r="B82" s="326">
        <v>100</v>
      </c>
      <c r="C82" s="326">
        <v>50</v>
      </c>
      <c r="D82" s="326">
        <v>100</v>
      </c>
      <c r="E82" s="326">
        <v>10</v>
      </c>
      <c r="F82" s="326">
        <v>25</v>
      </c>
      <c r="G82" s="330" t="s">
        <v>2398</v>
      </c>
      <c r="H82" s="330" t="s">
        <v>628</v>
      </c>
      <c r="I82" s="326"/>
      <c r="J82" s="326"/>
      <c r="K82" s="341">
        <f t="shared" si="2"/>
        <v>0</v>
      </c>
      <c r="L82" s="341">
        <v>0</v>
      </c>
      <c r="M82" s="341"/>
      <c r="N82" s="341">
        <f t="shared" si="3"/>
        <v>0</v>
      </c>
      <c r="O82" s="341">
        <v>0</v>
      </c>
      <c r="P82" s="341"/>
    </row>
    <row r="83" spans="1:16">
      <c r="A83" s="177">
        <v>305</v>
      </c>
      <c r="B83" s="326">
        <v>100</v>
      </c>
      <c r="C83" s="326">
        <v>50</v>
      </c>
      <c r="D83" s="326">
        <v>100</v>
      </c>
      <c r="E83" s="326">
        <v>10</v>
      </c>
      <c r="F83" s="326">
        <v>30</v>
      </c>
      <c r="G83" s="330" t="s">
        <v>2399</v>
      </c>
      <c r="H83" s="330" t="s">
        <v>629</v>
      </c>
      <c r="I83" s="326"/>
      <c r="J83" s="326"/>
      <c r="K83" s="341">
        <f t="shared" si="2"/>
        <v>0</v>
      </c>
      <c r="L83" s="341">
        <v>0</v>
      </c>
      <c r="M83" s="341"/>
      <c r="N83" s="341">
        <f t="shared" si="3"/>
        <v>0</v>
      </c>
      <c r="O83" s="341">
        <v>0</v>
      </c>
      <c r="P83" s="341"/>
    </row>
    <row r="84" spans="1:16">
      <c r="A84" s="177">
        <v>305</v>
      </c>
      <c r="B84" s="326">
        <v>100</v>
      </c>
      <c r="C84" s="326">
        <v>50</v>
      </c>
      <c r="D84" s="326">
        <v>100</v>
      </c>
      <c r="E84" s="326">
        <v>10</v>
      </c>
      <c r="F84" s="326">
        <v>35</v>
      </c>
      <c r="G84" s="330" t="s">
        <v>2400</v>
      </c>
      <c r="H84" s="330" t="s">
        <v>630</v>
      </c>
      <c r="I84" s="326"/>
      <c r="J84" s="326"/>
      <c r="K84" s="341">
        <f t="shared" si="2"/>
        <v>0</v>
      </c>
      <c r="L84" s="341">
        <v>0</v>
      </c>
      <c r="M84" s="341"/>
      <c r="N84" s="341">
        <f t="shared" si="3"/>
        <v>0</v>
      </c>
      <c r="O84" s="341">
        <v>0</v>
      </c>
      <c r="P84" s="341"/>
    </row>
    <row r="85" spans="1:16">
      <c r="A85" s="177">
        <v>305</v>
      </c>
      <c r="B85" s="326">
        <v>100</v>
      </c>
      <c r="C85" s="326">
        <v>50</v>
      </c>
      <c r="D85" s="326">
        <v>100</v>
      </c>
      <c r="E85" s="326">
        <v>10</v>
      </c>
      <c r="F85" s="326">
        <v>40</v>
      </c>
      <c r="G85" s="330" t="s">
        <v>2401</v>
      </c>
      <c r="H85" s="330" t="s">
        <v>631</v>
      </c>
      <c r="I85" s="326"/>
      <c r="J85" s="326"/>
      <c r="K85" s="341">
        <f t="shared" si="2"/>
        <v>0</v>
      </c>
      <c r="L85" s="341">
        <v>0</v>
      </c>
      <c r="M85" s="341"/>
      <c r="N85" s="341">
        <f t="shared" si="3"/>
        <v>0</v>
      </c>
      <c r="O85" s="341">
        <v>0</v>
      </c>
      <c r="P85" s="341"/>
    </row>
    <row r="86" spans="1:16">
      <c r="A86" s="177">
        <v>305</v>
      </c>
      <c r="B86" s="326">
        <v>100</v>
      </c>
      <c r="C86" s="326">
        <v>50</v>
      </c>
      <c r="D86" s="326">
        <v>100</v>
      </c>
      <c r="E86" s="326">
        <v>10</v>
      </c>
      <c r="F86" s="326">
        <v>45</v>
      </c>
      <c r="G86" s="330" t="s">
        <v>2402</v>
      </c>
      <c r="H86" s="330" t="s">
        <v>632</v>
      </c>
      <c r="I86" s="326"/>
      <c r="J86" s="326"/>
      <c r="K86" s="341">
        <f t="shared" si="2"/>
        <v>0</v>
      </c>
      <c r="L86" s="341">
        <v>0</v>
      </c>
      <c r="M86" s="341"/>
      <c r="N86" s="341">
        <f t="shared" si="3"/>
        <v>0</v>
      </c>
      <c r="O86" s="341">
        <v>0</v>
      </c>
      <c r="P86" s="341"/>
    </row>
    <row r="87" spans="1:16">
      <c r="A87" s="177">
        <v>305</v>
      </c>
      <c r="B87" s="326">
        <v>100</v>
      </c>
      <c r="C87" s="326">
        <v>50</v>
      </c>
      <c r="D87" s="326">
        <v>100</v>
      </c>
      <c r="E87" s="326">
        <v>10</v>
      </c>
      <c r="F87" s="326">
        <v>50</v>
      </c>
      <c r="G87" s="330" t="s">
        <v>2403</v>
      </c>
      <c r="H87" s="330" t="s">
        <v>633</v>
      </c>
      <c r="I87" s="326"/>
      <c r="J87" s="326"/>
      <c r="K87" s="341">
        <f t="shared" si="2"/>
        <v>0</v>
      </c>
      <c r="L87" s="341">
        <v>0</v>
      </c>
      <c r="M87" s="341"/>
      <c r="N87" s="341">
        <f t="shared" si="3"/>
        <v>0</v>
      </c>
      <c r="O87" s="341">
        <v>0</v>
      </c>
      <c r="P87" s="341"/>
    </row>
    <row r="88" spans="1:16">
      <c r="A88" s="177">
        <v>305</v>
      </c>
      <c r="B88" s="326">
        <v>100</v>
      </c>
      <c r="C88" s="326">
        <v>50</v>
      </c>
      <c r="D88" s="326">
        <v>100</v>
      </c>
      <c r="E88" s="326">
        <v>10</v>
      </c>
      <c r="F88" s="326">
        <v>55</v>
      </c>
      <c r="G88" s="330" t="s">
        <v>2404</v>
      </c>
      <c r="H88" s="330" t="s">
        <v>634</v>
      </c>
      <c r="I88" s="326"/>
      <c r="J88" s="326"/>
      <c r="K88" s="341">
        <f t="shared" si="2"/>
        <v>0</v>
      </c>
      <c r="L88" s="341">
        <v>0</v>
      </c>
      <c r="M88" s="341"/>
      <c r="N88" s="341">
        <f t="shared" si="3"/>
        <v>0</v>
      </c>
      <c r="O88" s="341">
        <v>0</v>
      </c>
      <c r="P88" s="341"/>
    </row>
    <row r="89" spans="1:16">
      <c r="A89" s="177">
        <v>305</v>
      </c>
      <c r="B89" s="326">
        <v>100</v>
      </c>
      <c r="C89" s="326">
        <v>50</v>
      </c>
      <c r="D89" s="326">
        <v>100</v>
      </c>
      <c r="E89" s="325">
        <v>20</v>
      </c>
      <c r="F89" s="325">
        <v>0</v>
      </c>
      <c r="G89" s="337" t="s">
        <v>2405</v>
      </c>
      <c r="H89" s="337" t="s">
        <v>635</v>
      </c>
      <c r="I89" s="326" t="s">
        <v>636</v>
      </c>
      <c r="J89" s="325"/>
      <c r="K89" s="335">
        <f t="shared" si="2"/>
        <v>0</v>
      </c>
      <c r="L89" s="335">
        <v>0</v>
      </c>
      <c r="M89" s="335"/>
      <c r="N89" s="335">
        <f t="shared" si="3"/>
        <v>0</v>
      </c>
      <c r="O89" s="335">
        <v>0</v>
      </c>
      <c r="P89" s="335"/>
    </row>
    <row r="90" spans="1:16">
      <c r="A90" s="177">
        <v>305</v>
      </c>
      <c r="B90" s="326">
        <v>100</v>
      </c>
      <c r="C90" s="326">
        <v>50</v>
      </c>
      <c r="D90" s="326">
        <v>100</v>
      </c>
      <c r="E90" s="325">
        <v>20</v>
      </c>
      <c r="F90" s="326">
        <v>5</v>
      </c>
      <c r="G90" s="330" t="s">
        <v>2406</v>
      </c>
      <c r="H90" s="330" t="s">
        <v>624</v>
      </c>
      <c r="I90" s="326"/>
      <c r="J90" s="326"/>
      <c r="K90" s="334">
        <f t="shared" si="2"/>
        <v>0</v>
      </c>
      <c r="L90" s="334">
        <v>0</v>
      </c>
      <c r="M90" s="334"/>
      <c r="N90" s="334">
        <f t="shared" si="3"/>
        <v>0</v>
      </c>
      <c r="O90" s="334">
        <v>0</v>
      </c>
      <c r="P90" s="334"/>
    </row>
    <row r="91" spans="1:16">
      <c r="A91" s="177">
        <v>305</v>
      </c>
      <c r="B91" s="326">
        <v>100</v>
      </c>
      <c r="C91" s="326">
        <v>50</v>
      </c>
      <c r="D91" s="326">
        <v>100</v>
      </c>
      <c r="E91" s="325">
        <v>20</v>
      </c>
      <c r="F91" s="326">
        <v>10</v>
      </c>
      <c r="G91" s="330" t="s">
        <v>2407</v>
      </c>
      <c r="H91" s="330" t="s">
        <v>625</v>
      </c>
      <c r="I91" s="326"/>
      <c r="J91" s="326"/>
      <c r="K91" s="334">
        <f t="shared" si="2"/>
        <v>0</v>
      </c>
      <c r="L91" s="334">
        <v>0</v>
      </c>
      <c r="M91" s="334"/>
      <c r="N91" s="334">
        <f t="shared" si="3"/>
        <v>0</v>
      </c>
      <c r="O91" s="334">
        <v>0</v>
      </c>
      <c r="P91" s="334"/>
    </row>
    <row r="92" spans="1:16">
      <c r="A92" s="177">
        <v>305</v>
      </c>
      <c r="B92" s="326">
        <v>100</v>
      </c>
      <c r="C92" s="326">
        <v>50</v>
      </c>
      <c r="D92" s="326">
        <v>100</v>
      </c>
      <c r="E92" s="325">
        <v>20</v>
      </c>
      <c r="F92" s="326">
        <v>15</v>
      </c>
      <c r="G92" s="330" t="s">
        <v>2408</v>
      </c>
      <c r="H92" s="330" t="s">
        <v>626</v>
      </c>
      <c r="I92" s="326"/>
      <c r="J92" s="326"/>
      <c r="K92" s="334">
        <f t="shared" si="2"/>
        <v>0</v>
      </c>
      <c r="L92" s="334">
        <v>0</v>
      </c>
      <c r="M92" s="334"/>
      <c r="N92" s="334">
        <f t="shared" si="3"/>
        <v>0</v>
      </c>
      <c r="O92" s="334">
        <v>0</v>
      </c>
      <c r="P92" s="334"/>
    </row>
    <row r="93" spans="1:16">
      <c r="A93" s="177">
        <v>305</v>
      </c>
      <c r="B93" s="326">
        <v>100</v>
      </c>
      <c r="C93" s="326">
        <v>50</v>
      </c>
      <c r="D93" s="326">
        <v>100</v>
      </c>
      <c r="E93" s="325">
        <v>20</v>
      </c>
      <c r="F93" s="326">
        <v>20</v>
      </c>
      <c r="G93" s="330" t="s">
        <v>2409</v>
      </c>
      <c r="H93" s="330" t="s">
        <v>627</v>
      </c>
      <c r="I93" s="326"/>
      <c r="J93" s="326"/>
      <c r="K93" s="341">
        <f t="shared" si="2"/>
        <v>0</v>
      </c>
      <c r="L93" s="341">
        <v>0</v>
      </c>
      <c r="M93" s="341"/>
      <c r="N93" s="341">
        <f t="shared" si="3"/>
        <v>0</v>
      </c>
      <c r="O93" s="341">
        <v>0</v>
      </c>
      <c r="P93" s="341"/>
    </row>
    <row r="94" spans="1:16">
      <c r="A94" s="177">
        <v>305</v>
      </c>
      <c r="B94" s="326">
        <v>100</v>
      </c>
      <c r="C94" s="326">
        <v>50</v>
      </c>
      <c r="D94" s="326">
        <v>100</v>
      </c>
      <c r="E94" s="325">
        <v>20</v>
      </c>
      <c r="F94" s="326">
        <v>25</v>
      </c>
      <c r="G94" s="330" t="s">
        <v>2410</v>
      </c>
      <c r="H94" s="330" t="s">
        <v>628</v>
      </c>
      <c r="I94" s="326"/>
      <c r="J94" s="326"/>
      <c r="K94" s="341">
        <f t="shared" si="2"/>
        <v>0</v>
      </c>
      <c r="L94" s="341">
        <v>0</v>
      </c>
      <c r="M94" s="341"/>
      <c r="N94" s="341">
        <f t="shared" si="3"/>
        <v>0</v>
      </c>
      <c r="O94" s="341">
        <v>0</v>
      </c>
      <c r="P94" s="341"/>
    </row>
    <row r="95" spans="1:16">
      <c r="A95" s="177">
        <v>305</v>
      </c>
      <c r="B95" s="326">
        <v>100</v>
      </c>
      <c r="C95" s="326">
        <v>50</v>
      </c>
      <c r="D95" s="326">
        <v>100</v>
      </c>
      <c r="E95" s="325">
        <v>20</v>
      </c>
      <c r="F95" s="326">
        <v>30</v>
      </c>
      <c r="G95" s="330" t="s">
        <v>2411</v>
      </c>
      <c r="H95" s="330" t="s">
        <v>629</v>
      </c>
      <c r="I95" s="326"/>
      <c r="J95" s="326"/>
      <c r="K95" s="334">
        <f t="shared" si="2"/>
        <v>0</v>
      </c>
      <c r="L95" s="334">
        <v>0</v>
      </c>
      <c r="M95" s="334"/>
      <c r="N95" s="334">
        <f t="shared" si="3"/>
        <v>0</v>
      </c>
      <c r="O95" s="334">
        <v>0</v>
      </c>
      <c r="P95" s="334"/>
    </row>
    <row r="96" spans="1:16">
      <c r="A96" s="177">
        <v>305</v>
      </c>
      <c r="B96" s="326">
        <v>100</v>
      </c>
      <c r="C96" s="326">
        <v>50</v>
      </c>
      <c r="D96" s="326">
        <v>100</v>
      </c>
      <c r="E96" s="325">
        <v>20</v>
      </c>
      <c r="F96" s="326">
        <v>35</v>
      </c>
      <c r="G96" s="330" t="s">
        <v>2412</v>
      </c>
      <c r="H96" s="330" t="s">
        <v>630</v>
      </c>
      <c r="I96" s="326"/>
      <c r="J96" s="326"/>
      <c r="K96" s="334">
        <f t="shared" si="2"/>
        <v>0</v>
      </c>
      <c r="L96" s="334">
        <v>0</v>
      </c>
      <c r="M96" s="334"/>
      <c r="N96" s="334">
        <f t="shared" si="3"/>
        <v>0</v>
      </c>
      <c r="O96" s="334">
        <v>0</v>
      </c>
      <c r="P96" s="334"/>
    </row>
    <row r="97" spans="1:16">
      <c r="A97" s="177">
        <v>305</v>
      </c>
      <c r="B97" s="326">
        <v>100</v>
      </c>
      <c r="C97" s="326">
        <v>50</v>
      </c>
      <c r="D97" s="326">
        <v>100</v>
      </c>
      <c r="E97" s="325">
        <v>20</v>
      </c>
      <c r="F97" s="326">
        <v>40</v>
      </c>
      <c r="G97" s="330" t="s">
        <v>2413</v>
      </c>
      <c r="H97" s="330" t="s">
        <v>631</v>
      </c>
      <c r="I97" s="326"/>
      <c r="J97" s="326"/>
      <c r="K97" s="334">
        <f t="shared" si="2"/>
        <v>0</v>
      </c>
      <c r="L97" s="334">
        <v>0</v>
      </c>
      <c r="M97" s="334"/>
      <c r="N97" s="334">
        <f t="shared" si="3"/>
        <v>0</v>
      </c>
      <c r="O97" s="334">
        <v>0</v>
      </c>
      <c r="P97" s="334"/>
    </row>
    <row r="98" spans="1:16">
      <c r="A98" s="177">
        <v>305</v>
      </c>
      <c r="B98" s="326">
        <v>100</v>
      </c>
      <c r="C98" s="326">
        <v>50</v>
      </c>
      <c r="D98" s="326">
        <v>100</v>
      </c>
      <c r="E98" s="325">
        <v>20</v>
      </c>
      <c r="F98" s="326">
        <v>45</v>
      </c>
      <c r="G98" s="330" t="s">
        <v>2414</v>
      </c>
      <c r="H98" s="330" t="s">
        <v>632</v>
      </c>
      <c r="I98" s="326"/>
      <c r="J98" s="326"/>
      <c r="K98" s="341">
        <f t="shared" si="2"/>
        <v>0</v>
      </c>
      <c r="L98" s="341">
        <v>0</v>
      </c>
      <c r="M98" s="341"/>
      <c r="N98" s="341">
        <f t="shared" si="3"/>
        <v>0</v>
      </c>
      <c r="O98" s="341">
        <v>0</v>
      </c>
      <c r="P98" s="341"/>
    </row>
    <row r="99" spans="1:16">
      <c r="A99" s="177">
        <v>305</v>
      </c>
      <c r="B99" s="326">
        <v>100</v>
      </c>
      <c r="C99" s="326">
        <v>50</v>
      </c>
      <c r="D99" s="326">
        <v>100</v>
      </c>
      <c r="E99" s="325">
        <v>20</v>
      </c>
      <c r="F99" s="326">
        <v>50</v>
      </c>
      <c r="G99" s="330" t="s">
        <v>2415</v>
      </c>
      <c r="H99" s="330" t="s">
        <v>633</v>
      </c>
      <c r="I99" s="326"/>
      <c r="J99" s="326"/>
      <c r="K99" s="341">
        <f t="shared" si="2"/>
        <v>0</v>
      </c>
      <c r="L99" s="341">
        <v>0</v>
      </c>
      <c r="M99" s="341"/>
      <c r="N99" s="341">
        <f t="shared" si="3"/>
        <v>0</v>
      </c>
      <c r="O99" s="341">
        <v>0</v>
      </c>
      <c r="P99" s="341"/>
    </row>
    <row r="100" spans="1:16">
      <c r="A100" s="177">
        <v>305</v>
      </c>
      <c r="B100" s="326">
        <v>100</v>
      </c>
      <c r="C100" s="326">
        <v>50</v>
      </c>
      <c r="D100" s="326">
        <v>100</v>
      </c>
      <c r="E100" s="325">
        <v>20</v>
      </c>
      <c r="F100" s="326">
        <v>55</v>
      </c>
      <c r="G100" s="330" t="s">
        <v>2416</v>
      </c>
      <c r="H100" s="330" t="s">
        <v>634</v>
      </c>
      <c r="I100" s="326"/>
      <c r="J100" s="326"/>
      <c r="K100" s="334">
        <f t="shared" si="2"/>
        <v>0</v>
      </c>
      <c r="L100" s="334">
        <v>0</v>
      </c>
      <c r="M100" s="334"/>
      <c r="N100" s="334">
        <f t="shared" si="3"/>
        <v>0</v>
      </c>
      <c r="O100" s="334">
        <v>0</v>
      </c>
      <c r="P100" s="334"/>
    </row>
    <row r="101" spans="1:16">
      <c r="A101" s="177">
        <v>305</v>
      </c>
      <c r="B101" s="326">
        <v>100</v>
      </c>
      <c r="C101" s="326">
        <v>50</v>
      </c>
      <c r="D101" s="326">
        <v>100</v>
      </c>
      <c r="E101" s="326">
        <v>30</v>
      </c>
      <c r="F101" s="326">
        <v>0</v>
      </c>
      <c r="G101" s="331" t="s">
        <v>2417</v>
      </c>
      <c r="H101" s="331" t="s">
        <v>637</v>
      </c>
      <c r="I101" s="326" t="s">
        <v>638</v>
      </c>
      <c r="J101" s="325"/>
      <c r="K101" s="335">
        <f t="shared" si="2"/>
        <v>0</v>
      </c>
      <c r="L101" s="335">
        <v>0</v>
      </c>
      <c r="M101" s="335"/>
      <c r="N101" s="335">
        <f t="shared" si="3"/>
        <v>0</v>
      </c>
      <c r="O101" s="335">
        <v>0</v>
      </c>
      <c r="P101" s="335"/>
    </row>
    <row r="102" spans="1:16" ht="25.5">
      <c r="A102" s="177">
        <v>305</v>
      </c>
      <c r="B102" s="326">
        <v>100</v>
      </c>
      <c r="C102" s="326">
        <v>50</v>
      </c>
      <c r="D102" s="326">
        <v>100</v>
      </c>
      <c r="E102" s="326">
        <v>30</v>
      </c>
      <c r="F102" s="326">
        <v>5</v>
      </c>
      <c r="G102" s="330" t="s">
        <v>2418</v>
      </c>
      <c r="H102" s="330" t="s">
        <v>639</v>
      </c>
      <c r="I102" s="326"/>
      <c r="J102" s="326"/>
      <c r="K102" s="341">
        <f t="shared" si="2"/>
        <v>0</v>
      </c>
      <c r="L102" s="341">
        <v>0</v>
      </c>
      <c r="M102" s="341"/>
      <c r="N102" s="341">
        <f t="shared" si="3"/>
        <v>0</v>
      </c>
      <c r="O102" s="341">
        <v>0</v>
      </c>
      <c r="P102" s="341"/>
    </row>
    <row r="103" spans="1:16" ht="25.5">
      <c r="A103" s="177">
        <v>305</v>
      </c>
      <c r="B103" s="326">
        <v>100</v>
      </c>
      <c r="C103" s="326">
        <v>50</v>
      </c>
      <c r="D103" s="326">
        <v>100</v>
      </c>
      <c r="E103" s="326">
        <v>30</v>
      </c>
      <c r="F103" s="326">
        <v>10</v>
      </c>
      <c r="G103" s="330" t="s">
        <v>2419</v>
      </c>
      <c r="H103" s="330" t="s">
        <v>640</v>
      </c>
      <c r="I103" s="326"/>
      <c r="J103" s="326"/>
      <c r="K103" s="341">
        <f t="shared" si="2"/>
        <v>0</v>
      </c>
      <c r="L103" s="341">
        <v>0</v>
      </c>
      <c r="M103" s="341"/>
      <c r="N103" s="341">
        <f t="shared" si="3"/>
        <v>0</v>
      </c>
      <c r="O103" s="341">
        <v>0</v>
      </c>
      <c r="P103" s="341"/>
    </row>
    <row r="104" spans="1:16">
      <c r="A104" s="177">
        <v>305</v>
      </c>
      <c r="B104" s="326">
        <v>100</v>
      </c>
      <c r="C104" s="326">
        <v>50</v>
      </c>
      <c r="D104" s="326">
        <v>100</v>
      </c>
      <c r="E104" s="326">
        <v>30</v>
      </c>
      <c r="F104" s="326">
        <v>15</v>
      </c>
      <c r="G104" s="330" t="s">
        <v>2420</v>
      </c>
      <c r="H104" s="330" t="s">
        <v>641</v>
      </c>
      <c r="I104" s="326"/>
      <c r="J104" s="326"/>
      <c r="K104" s="334">
        <f t="shared" si="2"/>
        <v>0</v>
      </c>
      <c r="L104" s="334">
        <v>0</v>
      </c>
      <c r="M104" s="334"/>
      <c r="N104" s="334">
        <f t="shared" si="3"/>
        <v>0</v>
      </c>
      <c r="O104" s="334">
        <v>0</v>
      </c>
      <c r="P104" s="334"/>
    </row>
    <row r="105" spans="1:16" ht="25.5">
      <c r="A105" s="177">
        <v>305</v>
      </c>
      <c r="B105" s="326">
        <v>100</v>
      </c>
      <c r="C105" s="326">
        <v>50</v>
      </c>
      <c r="D105" s="326">
        <v>100</v>
      </c>
      <c r="E105" s="326">
        <v>30</v>
      </c>
      <c r="F105" s="326">
        <v>20</v>
      </c>
      <c r="G105" s="330" t="s">
        <v>2421</v>
      </c>
      <c r="H105" s="330" t="s">
        <v>642</v>
      </c>
      <c r="I105" s="326"/>
      <c r="J105" s="326"/>
      <c r="K105" s="341">
        <f t="shared" si="2"/>
        <v>0</v>
      </c>
      <c r="L105" s="341">
        <v>0</v>
      </c>
      <c r="M105" s="341"/>
      <c r="N105" s="341">
        <f t="shared" si="3"/>
        <v>0</v>
      </c>
      <c r="O105" s="341">
        <v>0</v>
      </c>
      <c r="P105" s="341"/>
    </row>
    <row r="106" spans="1:16" ht="25.5">
      <c r="A106" s="177">
        <v>305</v>
      </c>
      <c r="B106" s="326">
        <v>100</v>
      </c>
      <c r="C106" s="326">
        <v>50</v>
      </c>
      <c r="D106" s="326">
        <v>100</v>
      </c>
      <c r="E106" s="326">
        <v>30</v>
      </c>
      <c r="F106" s="326">
        <v>25</v>
      </c>
      <c r="G106" s="330" t="s">
        <v>2422</v>
      </c>
      <c r="H106" s="330" t="s">
        <v>643</v>
      </c>
      <c r="I106" s="326"/>
      <c r="J106" s="326"/>
      <c r="K106" s="341">
        <f t="shared" si="2"/>
        <v>0</v>
      </c>
      <c r="L106" s="341">
        <v>0</v>
      </c>
      <c r="M106" s="341"/>
      <c r="N106" s="341">
        <f t="shared" si="3"/>
        <v>0</v>
      </c>
      <c r="O106" s="341">
        <v>0</v>
      </c>
      <c r="P106" s="341"/>
    </row>
    <row r="107" spans="1:16" ht="25.5">
      <c r="A107" s="177">
        <v>305</v>
      </c>
      <c r="B107" s="326">
        <v>100</v>
      </c>
      <c r="C107" s="326">
        <v>50</v>
      </c>
      <c r="D107" s="326">
        <v>100</v>
      </c>
      <c r="E107" s="326">
        <v>30</v>
      </c>
      <c r="F107" s="326">
        <v>30</v>
      </c>
      <c r="G107" s="330" t="s">
        <v>2423</v>
      </c>
      <c r="H107" s="330" t="s">
        <v>644</v>
      </c>
      <c r="I107" s="326"/>
      <c r="J107" s="326"/>
      <c r="K107" s="334">
        <f t="shared" si="2"/>
        <v>0</v>
      </c>
      <c r="L107" s="334">
        <v>0</v>
      </c>
      <c r="M107" s="334"/>
      <c r="N107" s="334">
        <f t="shared" si="3"/>
        <v>0</v>
      </c>
      <c r="O107" s="334">
        <v>0</v>
      </c>
      <c r="P107" s="334"/>
    </row>
    <row r="108" spans="1:16" ht="25.5">
      <c r="A108" s="177">
        <v>305</v>
      </c>
      <c r="B108" s="326">
        <v>100</v>
      </c>
      <c r="C108" s="326">
        <v>50</v>
      </c>
      <c r="D108" s="326">
        <v>100</v>
      </c>
      <c r="E108" s="326">
        <v>30</v>
      </c>
      <c r="F108" s="326">
        <v>35</v>
      </c>
      <c r="G108" s="330" t="s">
        <v>2424</v>
      </c>
      <c r="H108" s="330" t="s">
        <v>645</v>
      </c>
      <c r="I108" s="326"/>
      <c r="J108" s="326"/>
      <c r="K108" s="341">
        <f t="shared" si="2"/>
        <v>0</v>
      </c>
      <c r="L108" s="341">
        <v>0</v>
      </c>
      <c r="M108" s="341"/>
      <c r="N108" s="341">
        <f t="shared" si="3"/>
        <v>0</v>
      </c>
      <c r="O108" s="341">
        <v>0</v>
      </c>
      <c r="P108" s="341"/>
    </row>
    <row r="109" spans="1:16">
      <c r="A109" s="177">
        <v>305</v>
      </c>
      <c r="B109" s="326">
        <v>100</v>
      </c>
      <c r="C109" s="326">
        <v>50</v>
      </c>
      <c r="D109" s="326">
        <v>100</v>
      </c>
      <c r="E109" s="326">
        <v>30</v>
      </c>
      <c r="F109" s="326">
        <v>40</v>
      </c>
      <c r="G109" s="330" t="s">
        <v>2425</v>
      </c>
      <c r="H109" s="330" t="s">
        <v>646</v>
      </c>
      <c r="I109" s="326"/>
      <c r="J109" s="326"/>
      <c r="K109" s="341">
        <f t="shared" si="2"/>
        <v>0</v>
      </c>
      <c r="L109" s="341">
        <v>0</v>
      </c>
      <c r="M109" s="341"/>
      <c r="N109" s="341">
        <f t="shared" si="3"/>
        <v>0</v>
      </c>
      <c r="O109" s="341">
        <v>0</v>
      </c>
      <c r="P109" s="341"/>
    </row>
    <row r="110" spans="1:16" ht="25.5">
      <c r="A110" s="177">
        <v>305</v>
      </c>
      <c r="B110" s="326">
        <v>100</v>
      </c>
      <c r="C110" s="326">
        <v>50</v>
      </c>
      <c r="D110" s="326">
        <v>100</v>
      </c>
      <c r="E110" s="326">
        <v>30</v>
      </c>
      <c r="F110" s="326">
        <v>45</v>
      </c>
      <c r="G110" s="330" t="s">
        <v>2426</v>
      </c>
      <c r="H110" s="330" t="s">
        <v>647</v>
      </c>
      <c r="I110" s="326"/>
      <c r="J110" s="326"/>
      <c r="K110" s="334">
        <f t="shared" si="2"/>
        <v>0</v>
      </c>
      <c r="L110" s="334">
        <v>0</v>
      </c>
      <c r="M110" s="334"/>
      <c r="N110" s="334">
        <f t="shared" si="3"/>
        <v>0</v>
      </c>
      <c r="O110" s="334">
        <v>0</v>
      </c>
      <c r="P110" s="334"/>
    </row>
    <row r="111" spans="1:16" ht="25.5">
      <c r="A111" s="177">
        <v>305</v>
      </c>
      <c r="B111" s="326">
        <v>100</v>
      </c>
      <c r="C111" s="326">
        <v>50</v>
      </c>
      <c r="D111" s="326">
        <v>100</v>
      </c>
      <c r="E111" s="326">
        <v>30</v>
      </c>
      <c r="F111" s="326">
        <v>50</v>
      </c>
      <c r="G111" s="330" t="s">
        <v>2427</v>
      </c>
      <c r="H111" s="330" t="s">
        <v>648</v>
      </c>
      <c r="I111" s="326"/>
      <c r="J111" s="326"/>
      <c r="K111" s="341">
        <f t="shared" si="2"/>
        <v>0</v>
      </c>
      <c r="L111" s="341">
        <v>0</v>
      </c>
      <c r="M111" s="341"/>
      <c r="N111" s="341">
        <f t="shared" si="3"/>
        <v>0</v>
      </c>
      <c r="O111" s="341">
        <v>0</v>
      </c>
      <c r="P111" s="341"/>
    </row>
    <row r="112" spans="1:16" ht="25.5">
      <c r="A112" s="177">
        <v>305</v>
      </c>
      <c r="B112" s="326">
        <v>100</v>
      </c>
      <c r="C112" s="326">
        <v>50</v>
      </c>
      <c r="D112" s="326">
        <v>100</v>
      </c>
      <c r="E112" s="326">
        <v>30</v>
      </c>
      <c r="F112" s="326">
        <v>55</v>
      </c>
      <c r="G112" s="330" t="s">
        <v>2428</v>
      </c>
      <c r="H112" s="330" t="s">
        <v>649</v>
      </c>
      <c r="I112" s="326"/>
      <c r="J112" s="326"/>
      <c r="K112" s="341">
        <f t="shared" si="2"/>
        <v>0</v>
      </c>
      <c r="L112" s="341">
        <v>0</v>
      </c>
      <c r="M112" s="341"/>
      <c r="N112" s="341">
        <f t="shared" si="3"/>
        <v>0</v>
      </c>
      <c r="O112" s="341">
        <v>0</v>
      </c>
      <c r="P112" s="341"/>
    </row>
    <row r="113" spans="1:16" ht="25.5">
      <c r="A113" s="177">
        <v>305</v>
      </c>
      <c r="B113" s="326">
        <v>100</v>
      </c>
      <c r="C113" s="326">
        <v>50</v>
      </c>
      <c r="D113" s="326">
        <v>100</v>
      </c>
      <c r="E113" s="326">
        <v>30</v>
      </c>
      <c r="F113" s="326">
        <v>60</v>
      </c>
      <c r="G113" s="330" t="s">
        <v>2429</v>
      </c>
      <c r="H113" s="330" t="s">
        <v>650</v>
      </c>
      <c r="I113" s="326"/>
      <c r="J113" s="326"/>
      <c r="K113" s="341">
        <f t="shared" si="2"/>
        <v>0</v>
      </c>
      <c r="L113" s="341">
        <v>0</v>
      </c>
      <c r="M113" s="341"/>
      <c r="N113" s="341">
        <f t="shared" si="3"/>
        <v>0</v>
      </c>
      <c r="O113" s="341">
        <v>0</v>
      </c>
      <c r="P113" s="341"/>
    </row>
    <row r="114" spans="1:16" ht="25.5">
      <c r="A114" s="177">
        <v>305</v>
      </c>
      <c r="B114" s="326">
        <v>100</v>
      </c>
      <c r="C114" s="326">
        <v>50</v>
      </c>
      <c r="D114" s="326">
        <v>100</v>
      </c>
      <c r="E114" s="326">
        <v>30</v>
      </c>
      <c r="F114" s="326">
        <v>65</v>
      </c>
      <c r="G114" s="330" t="s">
        <v>2430</v>
      </c>
      <c r="H114" s="330" t="s">
        <v>651</v>
      </c>
      <c r="I114" s="326"/>
      <c r="J114" s="326"/>
      <c r="K114" s="341">
        <f t="shared" si="2"/>
        <v>0</v>
      </c>
      <c r="L114" s="341">
        <v>0</v>
      </c>
      <c r="M114" s="341"/>
      <c r="N114" s="341">
        <f t="shared" si="3"/>
        <v>0</v>
      </c>
      <c r="O114" s="341">
        <v>0</v>
      </c>
      <c r="P114" s="341"/>
    </row>
    <row r="115" spans="1:16">
      <c r="A115" s="177">
        <v>305</v>
      </c>
      <c r="B115" s="326">
        <v>100</v>
      </c>
      <c r="C115" s="326">
        <v>50</v>
      </c>
      <c r="D115" s="326">
        <v>100</v>
      </c>
      <c r="E115" s="326">
        <v>30</v>
      </c>
      <c r="F115" s="326">
        <v>70</v>
      </c>
      <c r="G115" s="330" t="s">
        <v>2431</v>
      </c>
      <c r="H115" s="330" t="s">
        <v>652</v>
      </c>
      <c r="I115" s="326"/>
      <c r="J115" s="326"/>
      <c r="K115" s="334">
        <f t="shared" si="2"/>
        <v>0</v>
      </c>
      <c r="L115" s="334">
        <v>0</v>
      </c>
      <c r="M115" s="334"/>
      <c r="N115" s="334">
        <f t="shared" si="3"/>
        <v>0</v>
      </c>
      <c r="O115" s="334">
        <v>0</v>
      </c>
      <c r="P115" s="334"/>
    </row>
    <row r="116" spans="1:16">
      <c r="A116" s="177">
        <v>305</v>
      </c>
      <c r="B116" s="326">
        <v>100</v>
      </c>
      <c r="C116" s="326">
        <v>50</v>
      </c>
      <c r="D116" s="326">
        <v>100</v>
      </c>
      <c r="E116" s="326">
        <v>40</v>
      </c>
      <c r="F116" s="326">
        <v>0</v>
      </c>
      <c r="G116" s="331" t="s">
        <v>2432</v>
      </c>
      <c r="H116" s="331" t="s">
        <v>653</v>
      </c>
      <c r="I116" s="326" t="s">
        <v>654</v>
      </c>
      <c r="J116" s="325"/>
      <c r="K116" s="335">
        <f t="shared" si="2"/>
        <v>0</v>
      </c>
      <c r="L116" s="335">
        <v>0</v>
      </c>
      <c r="M116" s="335"/>
      <c r="N116" s="335">
        <f t="shared" si="3"/>
        <v>0</v>
      </c>
      <c r="O116" s="335">
        <v>0</v>
      </c>
      <c r="P116" s="335"/>
    </row>
    <row r="117" spans="1:16">
      <c r="A117" s="177">
        <v>305</v>
      </c>
      <c r="B117" s="326">
        <v>100</v>
      </c>
      <c r="C117" s="326">
        <v>50</v>
      </c>
      <c r="D117" s="326">
        <v>100</v>
      </c>
      <c r="E117" s="326">
        <v>40</v>
      </c>
      <c r="F117" s="326">
        <v>5</v>
      </c>
      <c r="G117" s="330" t="s">
        <v>2433</v>
      </c>
      <c r="H117" s="330" t="s">
        <v>655</v>
      </c>
      <c r="I117" s="326"/>
      <c r="J117" s="326"/>
      <c r="K117" s="341">
        <f t="shared" si="2"/>
        <v>0</v>
      </c>
      <c r="L117" s="341">
        <v>0</v>
      </c>
      <c r="M117" s="341"/>
      <c r="N117" s="341">
        <f t="shared" si="3"/>
        <v>0</v>
      </c>
      <c r="O117" s="341">
        <v>0</v>
      </c>
      <c r="P117" s="341"/>
    </row>
    <row r="118" spans="1:16">
      <c r="A118" s="177">
        <v>305</v>
      </c>
      <c r="B118" s="326">
        <v>100</v>
      </c>
      <c r="C118" s="326">
        <v>50</v>
      </c>
      <c r="D118" s="326">
        <v>100</v>
      </c>
      <c r="E118" s="326">
        <v>40</v>
      </c>
      <c r="F118" s="326">
        <v>10</v>
      </c>
      <c r="G118" s="330" t="s">
        <v>2434</v>
      </c>
      <c r="H118" s="330" t="s">
        <v>625</v>
      </c>
      <c r="I118" s="326"/>
      <c r="J118" s="326"/>
      <c r="K118" s="334">
        <f t="shared" si="2"/>
        <v>0</v>
      </c>
      <c r="L118" s="334">
        <v>0</v>
      </c>
      <c r="M118" s="334"/>
      <c r="N118" s="334">
        <f t="shared" si="3"/>
        <v>0</v>
      </c>
      <c r="O118" s="334">
        <v>0</v>
      </c>
      <c r="P118" s="334"/>
    </row>
    <row r="119" spans="1:16">
      <c r="A119" s="177">
        <v>305</v>
      </c>
      <c r="B119" s="326">
        <v>100</v>
      </c>
      <c r="C119" s="326">
        <v>50</v>
      </c>
      <c r="D119" s="326">
        <v>100</v>
      </c>
      <c r="E119" s="326">
        <v>40</v>
      </c>
      <c r="F119" s="326">
        <v>15</v>
      </c>
      <c r="G119" s="330" t="s">
        <v>2435</v>
      </c>
      <c r="H119" s="330" t="s">
        <v>628</v>
      </c>
      <c r="I119" s="326"/>
      <c r="J119" s="326"/>
      <c r="K119" s="341">
        <f t="shared" si="2"/>
        <v>0</v>
      </c>
      <c r="L119" s="341">
        <v>0</v>
      </c>
      <c r="M119" s="341"/>
      <c r="N119" s="341">
        <f t="shared" si="3"/>
        <v>0</v>
      </c>
      <c r="O119" s="341">
        <v>0</v>
      </c>
      <c r="P119" s="341"/>
    </row>
    <row r="120" spans="1:16">
      <c r="A120" s="177">
        <v>305</v>
      </c>
      <c r="B120" s="326">
        <v>100</v>
      </c>
      <c r="C120" s="326">
        <v>50</v>
      </c>
      <c r="D120" s="326">
        <v>100</v>
      </c>
      <c r="E120" s="326">
        <v>40</v>
      </c>
      <c r="F120" s="326">
        <v>20</v>
      </c>
      <c r="G120" s="330" t="s">
        <v>2436</v>
      </c>
      <c r="H120" s="330" t="s">
        <v>629</v>
      </c>
      <c r="I120" s="326"/>
      <c r="J120" s="326"/>
      <c r="K120" s="341">
        <f t="shared" si="2"/>
        <v>0</v>
      </c>
      <c r="L120" s="341">
        <v>0</v>
      </c>
      <c r="M120" s="341"/>
      <c r="N120" s="341">
        <f t="shared" si="3"/>
        <v>0</v>
      </c>
      <c r="O120" s="341">
        <v>0</v>
      </c>
      <c r="P120" s="341"/>
    </row>
    <row r="121" spans="1:16">
      <c r="A121" s="177">
        <v>305</v>
      </c>
      <c r="B121" s="326">
        <v>100</v>
      </c>
      <c r="C121" s="326">
        <v>50</v>
      </c>
      <c r="D121" s="326">
        <v>100</v>
      </c>
      <c r="E121" s="326">
        <v>40</v>
      </c>
      <c r="F121" s="326">
        <v>25</v>
      </c>
      <c r="G121" s="330" t="s">
        <v>2437</v>
      </c>
      <c r="H121" s="330" t="s">
        <v>630</v>
      </c>
      <c r="I121" s="326"/>
      <c r="J121" s="326"/>
      <c r="K121" s="334">
        <f t="shared" si="2"/>
        <v>0</v>
      </c>
      <c r="L121" s="334">
        <v>0</v>
      </c>
      <c r="M121" s="334"/>
      <c r="N121" s="334">
        <f t="shared" si="3"/>
        <v>0</v>
      </c>
      <c r="O121" s="334">
        <v>0</v>
      </c>
      <c r="P121" s="334"/>
    </row>
    <row r="122" spans="1:16">
      <c r="A122" s="177">
        <v>305</v>
      </c>
      <c r="B122" s="326">
        <v>100</v>
      </c>
      <c r="C122" s="326">
        <v>50</v>
      </c>
      <c r="D122" s="326">
        <v>100</v>
      </c>
      <c r="E122" s="326">
        <v>40</v>
      </c>
      <c r="F122" s="326">
        <v>30</v>
      </c>
      <c r="G122" s="330" t="s">
        <v>2438</v>
      </c>
      <c r="H122" s="330" t="s">
        <v>633</v>
      </c>
      <c r="I122" s="326"/>
      <c r="J122" s="326"/>
      <c r="K122" s="341">
        <f t="shared" si="2"/>
        <v>0</v>
      </c>
      <c r="L122" s="341">
        <v>0</v>
      </c>
      <c r="M122" s="341"/>
      <c r="N122" s="341">
        <f t="shared" si="3"/>
        <v>0</v>
      </c>
      <c r="O122" s="341">
        <v>0</v>
      </c>
      <c r="P122" s="341"/>
    </row>
    <row r="123" spans="1:16">
      <c r="A123" s="177">
        <v>305</v>
      </c>
      <c r="B123" s="326">
        <v>100</v>
      </c>
      <c r="C123" s="326">
        <v>50</v>
      </c>
      <c r="D123" s="326">
        <v>100</v>
      </c>
      <c r="E123" s="326">
        <v>40</v>
      </c>
      <c r="F123" s="326">
        <v>35</v>
      </c>
      <c r="G123" s="330" t="s">
        <v>2439</v>
      </c>
      <c r="H123" s="330" t="s">
        <v>634</v>
      </c>
      <c r="I123" s="326"/>
      <c r="J123" s="326"/>
      <c r="K123" s="334">
        <f t="shared" si="2"/>
        <v>0</v>
      </c>
      <c r="L123" s="334">
        <v>0</v>
      </c>
      <c r="M123" s="334"/>
      <c r="N123" s="334">
        <f t="shared" si="3"/>
        <v>0</v>
      </c>
      <c r="O123" s="334">
        <v>0</v>
      </c>
      <c r="P123" s="334"/>
    </row>
    <row r="124" spans="1:16">
      <c r="A124" s="177">
        <v>305</v>
      </c>
      <c r="B124" s="326">
        <v>100</v>
      </c>
      <c r="C124" s="326">
        <v>50</v>
      </c>
      <c r="D124" s="326">
        <v>100</v>
      </c>
      <c r="E124" s="326">
        <v>40</v>
      </c>
      <c r="F124" s="326">
        <v>40</v>
      </c>
      <c r="G124" s="330" t="s">
        <v>2440</v>
      </c>
      <c r="H124" s="330" t="s">
        <v>656</v>
      </c>
      <c r="I124" s="326"/>
      <c r="J124" s="326"/>
      <c r="K124" s="341">
        <f t="shared" si="2"/>
        <v>0</v>
      </c>
      <c r="L124" s="341">
        <v>0</v>
      </c>
      <c r="M124" s="341"/>
      <c r="N124" s="341">
        <f t="shared" si="3"/>
        <v>0</v>
      </c>
      <c r="O124" s="341">
        <v>0</v>
      </c>
      <c r="P124" s="341"/>
    </row>
    <row r="125" spans="1:16" ht="25.5">
      <c r="A125" s="177">
        <v>305</v>
      </c>
      <c r="B125" s="326">
        <v>100</v>
      </c>
      <c r="C125" s="326">
        <v>50</v>
      </c>
      <c r="D125" s="326">
        <v>200</v>
      </c>
      <c r="E125" s="326">
        <v>0</v>
      </c>
      <c r="F125" s="326">
        <v>0</v>
      </c>
      <c r="G125" s="330" t="s">
        <v>2441</v>
      </c>
      <c r="H125" s="330" t="s">
        <v>657</v>
      </c>
      <c r="I125" s="332" t="s">
        <v>658</v>
      </c>
      <c r="J125" s="332" t="s">
        <v>1529</v>
      </c>
      <c r="K125" s="334">
        <f t="shared" si="2"/>
        <v>0</v>
      </c>
      <c r="L125" s="334">
        <v>0</v>
      </c>
      <c r="M125" s="334"/>
      <c r="N125" s="334">
        <f t="shared" si="3"/>
        <v>0</v>
      </c>
      <c r="O125" s="334">
        <v>0</v>
      </c>
      <c r="P125" s="334"/>
    </row>
    <row r="126" spans="1:16" ht="25.5">
      <c r="A126" s="177">
        <v>305</v>
      </c>
      <c r="B126" s="326">
        <v>100</v>
      </c>
      <c r="C126" s="326">
        <v>50</v>
      </c>
      <c r="D126" s="326">
        <v>300</v>
      </c>
      <c r="E126" s="326">
        <v>0</v>
      </c>
      <c r="F126" s="326">
        <v>0</v>
      </c>
      <c r="G126" s="330" t="s">
        <v>2442</v>
      </c>
      <c r="H126" s="330" t="s">
        <v>659</v>
      </c>
      <c r="I126" s="326" t="s">
        <v>660</v>
      </c>
      <c r="J126" s="326" t="s">
        <v>1574</v>
      </c>
      <c r="K126" s="341">
        <f t="shared" si="2"/>
        <v>0</v>
      </c>
      <c r="L126" s="341">
        <v>0</v>
      </c>
      <c r="M126" s="341"/>
      <c r="N126" s="341">
        <f t="shared" si="3"/>
        <v>0</v>
      </c>
      <c r="O126" s="341">
        <v>0</v>
      </c>
      <c r="P126" s="341"/>
    </row>
    <row r="127" spans="1:16">
      <c r="A127" s="177">
        <v>305</v>
      </c>
      <c r="B127" s="326">
        <v>100</v>
      </c>
      <c r="C127" s="326">
        <v>100</v>
      </c>
      <c r="D127" s="326">
        <v>0</v>
      </c>
      <c r="E127" s="326">
        <v>0</v>
      </c>
      <c r="F127" s="326">
        <v>0</v>
      </c>
      <c r="G127" s="331" t="s">
        <v>2443</v>
      </c>
      <c r="H127" s="331" t="s">
        <v>661</v>
      </c>
      <c r="I127" s="326" t="s">
        <v>662</v>
      </c>
      <c r="J127" s="325"/>
      <c r="K127" s="335">
        <f t="shared" si="2"/>
        <v>0</v>
      </c>
      <c r="L127" s="335">
        <v>0</v>
      </c>
      <c r="M127" s="335"/>
      <c r="N127" s="335">
        <f t="shared" si="3"/>
        <v>0</v>
      </c>
      <c r="O127" s="335">
        <v>0</v>
      </c>
      <c r="P127" s="335"/>
    </row>
    <row r="128" spans="1:16">
      <c r="A128" s="177">
        <v>305</v>
      </c>
      <c r="B128" s="326">
        <v>100</v>
      </c>
      <c r="C128" s="326">
        <v>100</v>
      </c>
      <c r="D128" s="326">
        <v>100</v>
      </c>
      <c r="E128" s="326">
        <v>0</v>
      </c>
      <c r="F128" s="326">
        <v>0</v>
      </c>
      <c r="G128" s="340" t="s">
        <v>2444</v>
      </c>
      <c r="H128" s="340" t="s">
        <v>620</v>
      </c>
      <c r="I128" s="326" t="s">
        <v>663</v>
      </c>
      <c r="J128" s="325"/>
      <c r="K128" s="335">
        <f t="shared" si="2"/>
        <v>0</v>
      </c>
      <c r="L128" s="335">
        <v>0</v>
      </c>
      <c r="M128" s="335"/>
      <c r="N128" s="335">
        <f t="shared" si="3"/>
        <v>0</v>
      </c>
      <c r="O128" s="335">
        <v>0</v>
      </c>
      <c r="P128" s="335"/>
    </row>
    <row r="129" spans="1:16">
      <c r="A129" s="177">
        <v>305</v>
      </c>
      <c r="B129" s="326">
        <v>100</v>
      </c>
      <c r="C129" s="326">
        <v>100</v>
      </c>
      <c r="D129" s="326">
        <v>100</v>
      </c>
      <c r="E129" s="326">
        <v>10</v>
      </c>
      <c r="F129" s="326">
        <v>0</v>
      </c>
      <c r="G129" s="330" t="s">
        <v>2445</v>
      </c>
      <c r="H129" s="330" t="s">
        <v>664</v>
      </c>
      <c r="I129" s="326"/>
      <c r="J129" s="326"/>
      <c r="K129" s="334">
        <f t="shared" si="2"/>
        <v>0</v>
      </c>
      <c r="L129" s="334">
        <v>0</v>
      </c>
      <c r="M129" s="334"/>
      <c r="N129" s="334">
        <f t="shared" si="3"/>
        <v>0</v>
      </c>
      <c r="O129" s="334">
        <v>0</v>
      </c>
      <c r="P129" s="334"/>
    </row>
    <row r="130" spans="1:16">
      <c r="A130" s="177">
        <v>305</v>
      </c>
      <c r="B130" s="326">
        <v>100</v>
      </c>
      <c r="C130" s="326">
        <v>100</v>
      </c>
      <c r="D130" s="326">
        <v>100</v>
      </c>
      <c r="E130" s="326">
        <v>20</v>
      </c>
      <c r="F130" s="326">
        <v>0</v>
      </c>
      <c r="G130" s="330" t="s">
        <v>2446</v>
      </c>
      <c r="H130" s="330" t="s">
        <v>665</v>
      </c>
      <c r="I130" s="326"/>
      <c r="J130" s="326"/>
      <c r="K130" s="334">
        <f t="shared" si="2"/>
        <v>0</v>
      </c>
      <c r="L130" s="334">
        <v>0</v>
      </c>
      <c r="M130" s="334"/>
      <c r="N130" s="334">
        <f t="shared" si="3"/>
        <v>0</v>
      </c>
      <c r="O130" s="334">
        <v>0</v>
      </c>
      <c r="P130" s="334"/>
    </row>
    <row r="131" spans="1:16" ht="25.5">
      <c r="A131" s="177">
        <v>305</v>
      </c>
      <c r="B131" s="326">
        <v>100</v>
      </c>
      <c r="C131" s="326">
        <v>100</v>
      </c>
      <c r="D131" s="326">
        <v>200</v>
      </c>
      <c r="E131" s="326">
        <v>0</v>
      </c>
      <c r="F131" s="326">
        <v>0</v>
      </c>
      <c r="G131" s="330" t="s">
        <v>2447</v>
      </c>
      <c r="H131" s="330" t="s">
        <v>666</v>
      </c>
      <c r="I131" s="332" t="s">
        <v>667</v>
      </c>
      <c r="J131" s="332" t="s">
        <v>1529</v>
      </c>
      <c r="K131" s="334">
        <f t="shared" si="2"/>
        <v>0</v>
      </c>
      <c r="L131" s="334">
        <v>0</v>
      </c>
      <c r="M131" s="334"/>
      <c r="N131" s="334">
        <f t="shared" si="3"/>
        <v>0</v>
      </c>
      <c r="O131" s="334">
        <v>0</v>
      </c>
      <c r="P131" s="334"/>
    </row>
    <row r="132" spans="1:16">
      <c r="A132" s="177">
        <v>305</v>
      </c>
      <c r="B132" s="326">
        <v>100</v>
      </c>
      <c r="C132" s="326">
        <v>100</v>
      </c>
      <c r="D132" s="326">
        <v>300</v>
      </c>
      <c r="E132" s="326">
        <v>0</v>
      </c>
      <c r="F132" s="326">
        <v>0</v>
      </c>
      <c r="G132" s="330" t="s">
        <v>2448</v>
      </c>
      <c r="H132" s="330" t="s">
        <v>668</v>
      </c>
      <c r="I132" s="326" t="s">
        <v>669</v>
      </c>
      <c r="J132" s="326" t="s">
        <v>1574</v>
      </c>
      <c r="K132" s="334">
        <f t="shared" si="2"/>
        <v>0</v>
      </c>
      <c r="L132" s="334">
        <v>0</v>
      </c>
      <c r="M132" s="334"/>
      <c r="N132" s="334">
        <f t="shared" si="3"/>
        <v>0</v>
      </c>
      <c r="O132" s="334">
        <v>0</v>
      </c>
      <c r="P132" s="334"/>
    </row>
    <row r="133" spans="1:16" ht="25.5">
      <c r="A133" s="177">
        <v>305</v>
      </c>
      <c r="B133" s="326">
        <v>100</v>
      </c>
      <c r="C133" s="326">
        <v>150</v>
      </c>
      <c r="D133" s="326">
        <v>0</v>
      </c>
      <c r="E133" s="326">
        <v>0</v>
      </c>
      <c r="F133" s="326">
        <v>0</v>
      </c>
      <c r="G133" s="331" t="s">
        <v>2449</v>
      </c>
      <c r="H133" s="331" t="s">
        <v>670</v>
      </c>
      <c r="I133" s="326" t="s">
        <v>671</v>
      </c>
      <c r="J133" s="325"/>
      <c r="K133" s="335">
        <f t="shared" si="2"/>
        <v>0</v>
      </c>
      <c r="L133" s="335">
        <v>0</v>
      </c>
      <c r="M133" s="335"/>
      <c r="N133" s="335">
        <f t="shared" si="3"/>
        <v>0</v>
      </c>
      <c r="O133" s="335">
        <v>0</v>
      </c>
      <c r="P133" s="335"/>
    </row>
    <row r="134" spans="1:16">
      <c r="A134" s="177">
        <v>305</v>
      </c>
      <c r="B134" s="326">
        <v>100</v>
      </c>
      <c r="C134" s="326">
        <v>150</v>
      </c>
      <c r="D134" s="326">
        <v>100</v>
      </c>
      <c r="E134" s="326">
        <v>0</v>
      </c>
      <c r="F134" s="326">
        <v>0</v>
      </c>
      <c r="G134" s="340" t="s">
        <v>2450</v>
      </c>
      <c r="H134" s="340" t="s">
        <v>672</v>
      </c>
      <c r="I134" s="326" t="s">
        <v>673</v>
      </c>
      <c r="J134" s="325" t="s">
        <v>1529</v>
      </c>
      <c r="K134" s="335">
        <f t="shared" si="2"/>
        <v>0</v>
      </c>
      <c r="L134" s="335">
        <v>0</v>
      </c>
      <c r="M134" s="335"/>
      <c r="N134" s="335">
        <f t="shared" si="3"/>
        <v>0</v>
      </c>
      <c r="O134" s="335">
        <v>0</v>
      </c>
      <c r="P134" s="335"/>
    </row>
    <row r="135" spans="1:16" ht="25.5">
      <c r="A135" s="177">
        <v>305</v>
      </c>
      <c r="B135" s="326">
        <v>100</v>
      </c>
      <c r="C135" s="326">
        <v>150</v>
      </c>
      <c r="D135" s="326">
        <v>100</v>
      </c>
      <c r="E135" s="326">
        <v>10</v>
      </c>
      <c r="F135" s="326">
        <v>0</v>
      </c>
      <c r="G135" s="330" t="s">
        <v>2451</v>
      </c>
      <c r="H135" s="330" t="s">
        <v>674</v>
      </c>
      <c r="I135" s="326"/>
      <c r="J135" s="326" t="s">
        <v>1529</v>
      </c>
      <c r="K135" s="334">
        <f t="shared" ref="K135:K198" si="4">+L135+M135</f>
        <v>0</v>
      </c>
      <c r="L135" s="334">
        <v>0</v>
      </c>
      <c r="M135" s="334"/>
      <c r="N135" s="334">
        <f t="shared" ref="N135:N198" si="5">+O135+P135</f>
        <v>0</v>
      </c>
      <c r="O135" s="334">
        <v>0</v>
      </c>
      <c r="P135" s="334"/>
    </row>
    <row r="136" spans="1:16" ht="25.5">
      <c r="A136" s="177">
        <v>305</v>
      </c>
      <c r="B136" s="326">
        <v>100</v>
      </c>
      <c r="C136" s="326">
        <v>150</v>
      </c>
      <c r="D136" s="326">
        <v>100</v>
      </c>
      <c r="E136" s="326">
        <v>20</v>
      </c>
      <c r="F136" s="326">
        <v>0</v>
      </c>
      <c r="G136" s="330" t="s">
        <v>2452</v>
      </c>
      <c r="H136" s="330" t="s">
        <v>675</v>
      </c>
      <c r="I136" s="326"/>
      <c r="J136" s="326" t="s">
        <v>1529</v>
      </c>
      <c r="K136" s="334">
        <f t="shared" si="4"/>
        <v>571493.06000000006</v>
      </c>
      <c r="L136" s="334">
        <v>571493.06000000006</v>
      </c>
      <c r="M136" s="334"/>
      <c r="N136" s="334">
        <f t="shared" si="5"/>
        <v>419859.55</v>
      </c>
      <c r="O136" s="334">
        <v>419859.55</v>
      </c>
      <c r="P136" s="334"/>
    </row>
    <row r="137" spans="1:16" ht="38.25">
      <c r="A137" s="177">
        <v>305</v>
      </c>
      <c r="B137" s="326">
        <v>100</v>
      </c>
      <c r="C137" s="326">
        <v>150</v>
      </c>
      <c r="D137" s="326">
        <v>150</v>
      </c>
      <c r="E137" s="326">
        <v>0</v>
      </c>
      <c r="F137" s="326">
        <v>0</v>
      </c>
      <c r="G137" s="330" t="s">
        <v>2453</v>
      </c>
      <c r="H137" s="330" t="s">
        <v>676</v>
      </c>
      <c r="I137" s="326" t="s">
        <v>677</v>
      </c>
      <c r="J137" s="326" t="s">
        <v>1529</v>
      </c>
      <c r="K137" s="334">
        <f t="shared" si="4"/>
        <v>0</v>
      </c>
      <c r="L137" s="334">
        <v>0</v>
      </c>
      <c r="M137" s="334"/>
      <c r="N137" s="334">
        <f t="shared" si="5"/>
        <v>0</v>
      </c>
      <c r="O137" s="334">
        <v>0</v>
      </c>
      <c r="P137" s="334"/>
    </row>
    <row r="138" spans="1:16">
      <c r="A138" s="177">
        <v>305</v>
      </c>
      <c r="B138" s="326">
        <v>100</v>
      </c>
      <c r="C138" s="326">
        <v>150</v>
      </c>
      <c r="D138" s="326">
        <v>200</v>
      </c>
      <c r="E138" s="326">
        <v>0</v>
      </c>
      <c r="F138" s="326">
        <v>0</v>
      </c>
      <c r="G138" s="330" t="s">
        <v>2454</v>
      </c>
      <c r="H138" s="330" t="s">
        <v>678</v>
      </c>
      <c r="I138" s="326" t="s">
        <v>679</v>
      </c>
      <c r="J138" s="326"/>
      <c r="K138" s="334">
        <f t="shared" si="4"/>
        <v>0</v>
      </c>
      <c r="L138" s="334">
        <v>0</v>
      </c>
      <c r="M138" s="334"/>
      <c r="N138" s="334">
        <f t="shared" si="5"/>
        <v>0</v>
      </c>
      <c r="O138" s="334">
        <v>0</v>
      </c>
      <c r="P138" s="334"/>
    </row>
    <row r="139" spans="1:16" ht="38.25">
      <c r="A139" s="177">
        <v>305</v>
      </c>
      <c r="B139" s="326">
        <v>100</v>
      </c>
      <c r="C139" s="326">
        <v>150</v>
      </c>
      <c r="D139" s="326">
        <v>250</v>
      </c>
      <c r="E139" s="326">
        <v>0</v>
      </c>
      <c r="F139" s="326">
        <v>0</v>
      </c>
      <c r="G139" s="330" t="s">
        <v>2455</v>
      </c>
      <c r="H139" s="330" t="s">
        <v>680</v>
      </c>
      <c r="I139" s="326" t="s">
        <v>681</v>
      </c>
      <c r="J139" s="325"/>
      <c r="K139" s="336">
        <f t="shared" si="4"/>
        <v>0</v>
      </c>
      <c r="L139" s="336">
        <v>0</v>
      </c>
      <c r="M139" s="336"/>
      <c r="N139" s="336">
        <f t="shared" si="5"/>
        <v>0</v>
      </c>
      <c r="O139" s="336">
        <v>0</v>
      </c>
      <c r="P139" s="336"/>
    </row>
    <row r="140" spans="1:16">
      <c r="A140" s="177">
        <v>305</v>
      </c>
      <c r="B140" s="326">
        <v>100</v>
      </c>
      <c r="C140" s="326">
        <v>150</v>
      </c>
      <c r="D140" s="326">
        <v>300</v>
      </c>
      <c r="E140" s="326">
        <v>0</v>
      </c>
      <c r="F140" s="326">
        <v>0</v>
      </c>
      <c r="G140" s="340" t="s">
        <v>2456</v>
      </c>
      <c r="H140" s="340" t="s">
        <v>668</v>
      </c>
      <c r="I140" s="326" t="s">
        <v>682</v>
      </c>
      <c r="J140" s="325" t="s">
        <v>1574</v>
      </c>
      <c r="K140" s="335">
        <f t="shared" si="4"/>
        <v>0</v>
      </c>
      <c r="L140" s="335">
        <v>0</v>
      </c>
      <c r="M140" s="335"/>
      <c r="N140" s="335">
        <f t="shared" si="5"/>
        <v>0</v>
      </c>
      <c r="O140" s="335">
        <v>0</v>
      </c>
      <c r="P140" s="335"/>
    </row>
    <row r="141" spans="1:16" ht="25.5">
      <c r="A141" s="177">
        <v>305</v>
      </c>
      <c r="B141" s="326">
        <v>100</v>
      </c>
      <c r="C141" s="326">
        <v>150</v>
      </c>
      <c r="D141" s="326">
        <v>300</v>
      </c>
      <c r="E141" s="326">
        <v>10</v>
      </c>
      <c r="F141" s="326">
        <v>0</v>
      </c>
      <c r="G141" s="330" t="s">
        <v>2457</v>
      </c>
      <c r="H141" s="330" t="s">
        <v>683</v>
      </c>
      <c r="I141" s="326"/>
      <c r="J141" s="326" t="s">
        <v>1574</v>
      </c>
      <c r="K141" s="334">
        <f t="shared" si="4"/>
        <v>0</v>
      </c>
      <c r="L141" s="334">
        <v>0</v>
      </c>
      <c r="M141" s="334"/>
      <c r="N141" s="334">
        <f t="shared" si="5"/>
        <v>0</v>
      </c>
      <c r="O141" s="334">
        <v>0</v>
      </c>
      <c r="P141" s="334"/>
    </row>
    <row r="142" spans="1:16" ht="25.5">
      <c r="A142" s="177">
        <v>305</v>
      </c>
      <c r="B142" s="326">
        <v>100</v>
      </c>
      <c r="C142" s="326">
        <v>150</v>
      </c>
      <c r="D142" s="326">
        <v>350</v>
      </c>
      <c r="E142" s="326">
        <v>0</v>
      </c>
      <c r="F142" s="326">
        <v>0</v>
      </c>
      <c r="G142" s="330" t="s">
        <v>2459</v>
      </c>
      <c r="H142" s="330" t="s">
        <v>685</v>
      </c>
      <c r="I142" s="326" t="s">
        <v>686</v>
      </c>
      <c r="J142" s="325" t="s">
        <v>1574</v>
      </c>
      <c r="K142" s="336">
        <f t="shared" si="4"/>
        <v>0</v>
      </c>
      <c r="L142" s="336">
        <v>0</v>
      </c>
      <c r="M142" s="336"/>
      <c r="N142" s="336">
        <f t="shared" si="5"/>
        <v>0</v>
      </c>
      <c r="O142" s="336">
        <v>0</v>
      </c>
      <c r="P142" s="336"/>
    </row>
    <row r="143" spans="1:16">
      <c r="A143" s="177">
        <v>305</v>
      </c>
      <c r="B143" s="326">
        <v>100</v>
      </c>
      <c r="C143" s="326">
        <v>150</v>
      </c>
      <c r="D143" s="326">
        <v>400</v>
      </c>
      <c r="E143" s="326">
        <v>0</v>
      </c>
      <c r="F143" s="326">
        <v>0</v>
      </c>
      <c r="G143" s="340" t="s">
        <v>2460</v>
      </c>
      <c r="H143" s="340" t="s">
        <v>687</v>
      </c>
      <c r="I143" s="326" t="s">
        <v>688</v>
      </c>
      <c r="J143" s="325"/>
      <c r="K143" s="335">
        <f t="shared" si="4"/>
        <v>0</v>
      </c>
      <c r="L143" s="335">
        <v>0</v>
      </c>
      <c r="M143" s="335"/>
      <c r="N143" s="335">
        <f t="shared" si="5"/>
        <v>0</v>
      </c>
      <c r="O143" s="335">
        <v>0</v>
      </c>
      <c r="P143" s="335"/>
    </row>
    <row r="144" spans="1:16">
      <c r="A144" s="177">
        <v>305</v>
      </c>
      <c r="B144" s="326">
        <v>100</v>
      </c>
      <c r="C144" s="326">
        <v>150</v>
      </c>
      <c r="D144" s="326">
        <v>400</v>
      </c>
      <c r="E144" s="326">
        <v>10</v>
      </c>
      <c r="F144" s="326">
        <v>0</v>
      </c>
      <c r="G144" s="330" t="s">
        <v>2461</v>
      </c>
      <c r="H144" s="330" t="s">
        <v>689</v>
      </c>
      <c r="I144" s="326"/>
      <c r="J144" s="326"/>
      <c r="K144" s="334">
        <f t="shared" si="4"/>
        <v>0</v>
      </c>
      <c r="L144" s="334">
        <v>0</v>
      </c>
      <c r="M144" s="334"/>
      <c r="N144" s="334">
        <f t="shared" si="5"/>
        <v>0</v>
      </c>
      <c r="O144" s="334">
        <v>0</v>
      </c>
      <c r="P144" s="334"/>
    </row>
    <row r="145" spans="1:16">
      <c r="A145" s="177">
        <v>305</v>
      </c>
      <c r="B145" s="326">
        <v>100</v>
      </c>
      <c r="C145" s="326">
        <v>150</v>
      </c>
      <c r="D145" s="326">
        <v>400</v>
      </c>
      <c r="E145" s="326">
        <v>20</v>
      </c>
      <c r="F145" s="326">
        <v>0</v>
      </c>
      <c r="G145" s="330" t="s">
        <v>2462</v>
      </c>
      <c r="H145" s="330" t="s">
        <v>690</v>
      </c>
      <c r="I145" s="326"/>
      <c r="J145" s="326"/>
      <c r="K145" s="334">
        <f t="shared" si="4"/>
        <v>0</v>
      </c>
      <c r="L145" s="334">
        <v>0</v>
      </c>
      <c r="M145" s="334"/>
      <c r="N145" s="334">
        <f t="shared" si="5"/>
        <v>0</v>
      </c>
      <c r="O145" s="334">
        <v>0</v>
      </c>
      <c r="P145" s="334"/>
    </row>
    <row r="146" spans="1:16">
      <c r="A146" s="177">
        <v>305</v>
      </c>
      <c r="B146" s="326">
        <v>100</v>
      </c>
      <c r="C146" s="326">
        <v>150</v>
      </c>
      <c r="D146" s="326">
        <v>400</v>
      </c>
      <c r="E146" s="326">
        <v>30</v>
      </c>
      <c r="F146" s="326">
        <v>0</v>
      </c>
      <c r="G146" s="330" t="s">
        <v>2463</v>
      </c>
      <c r="H146" s="330" t="s">
        <v>628</v>
      </c>
      <c r="I146" s="326"/>
      <c r="J146" s="326"/>
      <c r="K146" s="334">
        <f t="shared" si="4"/>
        <v>0</v>
      </c>
      <c r="L146" s="334">
        <v>0</v>
      </c>
      <c r="M146" s="334"/>
      <c r="N146" s="334">
        <f t="shared" si="5"/>
        <v>0</v>
      </c>
      <c r="O146" s="334">
        <v>0</v>
      </c>
      <c r="P146" s="334"/>
    </row>
    <row r="147" spans="1:16">
      <c r="A147" s="177">
        <v>305</v>
      </c>
      <c r="B147" s="326">
        <v>100</v>
      </c>
      <c r="C147" s="326">
        <v>150</v>
      </c>
      <c r="D147" s="326">
        <v>400</v>
      </c>
      <c r="E147" s="326">
        <v>40</v>
      </c>
      <c r="F147" s="326">
        <v>0</v>
      </c>
      <c r="G147" s="330" t="s">
        <v>2464</v>
      </c>
      <c r="H147" s="330" t="s">
        <v>629</v>
      </c>
      <c r="I147" s="326"/>
      <c r="J147" s="326"/>
      <c r="K147" s="334">
        <f t="shared" si="4"/>
        <v>0</v>
      </c>
      <c r="L147" s="334">
        <v>0</v>
      </c>
      <c r="M147" s="334"/>
      <c r="N147" s="334">
        <f t="shared" si="5"/>
        <v>0</v>
      </c>
      <c r="O147" s="334">
        <v>0</v>
      </c>
      <c r="P147" s="334"/>
    </row>
    <row r="148" spans="1:16">
      <c r="A148" s="177">
        <v>305</v>
      </c>
      <c r="B148" s="326">
        <v>100</v>
      </c>
      <c r="C148" s="326">
        <v>150</v>
      </c>
      <c r="D148" s="326">
        <v>400</v>
      </c>
      <c r="E148" s="326">
        <v>50</v>
      </c>
      <c r="F148" s="326">
        <v>0</v>
      </c>
      <c r="G148" s="330" t="s">
        <v>2465</v>
      </c>
      <c r="H148" s="330" t="s">
        <v>630</v>
      </c>
      <c r="I148" s="326"/>
      <c r="J148" s="326"/>
      <c r="K148" s="334">
        <f t="shared" si="4"/>
        <v>0</v>
      </c>
      <c r="L148" s="334">
        <v>0</v>
      </c>
      <c r="M148" s="334"/>
      <c r="N148" s="334">
        <f t="shared" si="5"/>
        <v>0</v>
      </c>
      <c r="O148" s="334">
        <v>0</v>
      </c>
      <c r="P148" s="334"/>
    </row>
    <row r="149" spans="1:16">
      <c r="A149" s="177">
        <v>305</v>
      </c>
      <c r="B149" s="326">
        <v>100</v>
      </c>
      <c r="C149" s="326">
        <v>150</v>
      </c>
      <c r="D149" s="326">
        <v>400</v>
      </c>
      <c r="E149" s="326">
        <v>60</v>
      </c>
      <c r="F149" s="326">
        <v>0</v>
      </c>
      <c r="G149" s="330" t="s">
        <v>2466</v>
      </c>
      <c r="H149" s="330" t="s">
        <v>633</v>
      </c>
      <c r="I149" s="326"/>
      <c r="J149" s="326"/>
      <c r="K149" s="334">
        <f t="shared" si="4"/>
        <v>0</v>
      </c>
      <c r="L149" s="334">
        <v>0</v>
      </c>
      <c r="M149" s="334"/>
      <c r="N149" s="334">
        <f t="shared" si="5"/>
        <v>0</v>
      </c>
      <c r="O149" s="334">
        <v>0</v>
      </c>
      <c r="P149" s="334"/>
    </row>
    <row r="150" spans="1:16">
      <c r="A150" s="177">
        <v>305</v>
      </c>
      <c r="B150" s="326">
        <v>100</v>
      </c>
      <c r="C150" s="326">
        <v>150</v>
      </c>
      <c r="D150" s="326">
        <v>400</v>
      </c>
      <c r="E150" s="326">
        <v>70</v>
      </c>
      <c r="F150" s="326">
        <v>0</v>
      </c>
      <c r="G150" s="330" t="s">
        <v>2467</v>
      </c>
      <c r="H150" s="330" t="s">
        <v>634</v>
      </c>
      <c r="I150" s="326"/>
      <c r="J150" s="326"/>
      <c r="K150" s="334">
        <f t="shared" si="4"/>
        <v>0</v>
      </c>
      <c r="L150" s="334">
        <v>0</v>
      </c>
      <c r="M150" s="334"/>
      <c r="N150" s="334">
        <f t="shared" si="5"/>
        <v>0</v>
      </c>
      <c r="O150" s="334">
        <v>0</v>
      </c>
      <c r="P150" s="334"/>
    </row>
    <row r="151" spans="1:16">
      <c r="A151" s="177">
        <v>305</v>
      </c>
      <c r="B151" s="326">
        <v>100</v>
      </c>
      <c r="C151" s="326">
        <v>150</v>
      </c>
      <c r="D151" s="326">
        <v>500</v>
      </c>
      <c r="E151" s="326">
        <v>0</v>
      </c>
      <c r="F151" s="326">
        <v>0</v>
      </c>
      <c r="G151" s="340" t="s">
        <v>2468</v>
      </c>
      <c r="H151" s="340" t="s">
        <v>691</v>
      </c>
      <c r="I151" s="326" t="s">
        <v>692</v>
      </c>
      <c r="J151" s="325"/>
      <c r="K151" s="335">
        <f t="shared" si="4"/>
        <v>0</v>
      </c>
      <c r="L151" s="335">
        <v>0</v>
      </c>
      <c r="M151" s="335"/>
      <c r="N151" s="335">
        <f t="shared" si="5"/>
        <v>0</v>
      </c>
      <c r="O151" s="335">
        <v>0</v>
      </c>
      <c r="P151" s="335"/>
    </row>
    <row r="152" spans="1:16" ht="25.5">
      <c r="A152" s="177">
        <v>305</v>
      </c>
      <c r="B152" s="326">
        <v>100</v>
      </c>
      <c r="C152" s="326">
        <v>150</v>
      </c>
      <c r="D152" s="326">
        <v>500</v>
      </c>
      <c r="E152" s="326">
        <v>10</v>
      </c>
      <c r="F152" s="326">
        <v>0</v>
      </c>
      <c r="G152" s="330" t="s">
        <v>2469</v>
      </c>
      <c r="H152" s="330" t="s">
        <v>693</v>
      </c>
      <c r="I152" s="326" t="s">
        <v>694</v>
      </c>
      <c r="J152" s="326"/>
      <c r="K152" s="334">
        <f t="shared" si="4"/>
        <v>0</v>
      </c>
      <c r="L152" s="334">
        <v>0</v>
      </c>
      <c r="M152" s="334"/>
      <c r="N152" s="334">
        <f t="shared" si="5"/>
        <v>0</v>
      </c>
      <c r="O152" s="334">
        <v>0</v>
      </c>
      <c r="P152" s="334"/>
    </row>
    <row r="153" spans="1:16" ht="38.25">
      <c r="A153" s="177">
        <v>305</v>
      </c>
      <c r="B153" s="326">
        <v>100</v>
      </c>
      <c r="C153" s="326">
        <v>150</v>
      </c>
      <c r="D153" s="326">
        <v>500</v>
      </c>
      <c r="E153" s="326">
        <v>15</v>
      </c>
      <c r="F153" s="326">
        <v>0</v>
      </c>
      <c r="G153" s="330" t="s">
        <v>2470</v>
      </c>
      <c r="H153" s="330" t="s">
        <v>695</v>
      </c>
      <c r="I153" s="326" t="s">
        <v>696</v>
      </c>
      <c r="J153" s="326"/>
      <c r="K153" s="334">
        <f t="shared" si="4"/>
        <v>0</v>
      </c>
      <c r="L153" s="334">
        <v>0</v>
      </c>
      <c r="M153" s="334"/>
      <c r="N153" s="334">
        <f t="shared" si="5"/>
        <v>0</v>
      </c>
      <c r="O153" s="334">
        <v>0</v>
      </c>
      <c r="P153" s="334"/>
    </row>
    <row r="154" spans="1:16" ht="25.5">
      <c r="A154" s="177">
        <v>305</v>
      </c>
      <c r="B154" s="326">
        <v>100</v>
      </c>
      <c r="C154" s="326">
        <v>150</v>
      </c>
      <c r="D154" s="326">
        <v>500</v>
      </c>
      <c r="E154" s="326">
        <v>20</v>
      </c>
      <c r="F154" s="326">
        <v>0</v>
      </c>
      <c r="G154" s="330" t="s">
        <v>2471</v>
      </c>
      <c r="H154" s="330" t="s">
        <v>697</v>
      </c>
      <c r="I154" s="326" t="s">
        <v>698</v>
      </c>
      <c r="J154" s="326"/>
      <c r="K154" s="334">
        <f t="shared" si="4"/>
        <v>0</v>
      </c>
      <c r="L154" s="334">
        <v>0</v>
      </c>
      <c r="M154" s="334"/>
      <c r="N154" s="334">
        <f t="shared" si="5"/>
        <v>0</v>
      </c>
      <c r="O154" s="334">
        <v>0</v>
      </c>
      <c r="P154" s="334"/>
    </row>
    <row r="155" spans="1:16" ht="25.5">
      <c r="A155" s="177">
        <v>305</v>
      </c>
      <c r="B155" s="326">
        <v>100</v>
      </c>
      <c r="C155" s="326">
        <v>150</v>
      </c>
      <c r="D155" s="326">
        <v>500</v>
      </c>
      <c r="E155" s="326">
        <v>25</v>
      </c>
      <c r="F155" s="326">
        <v>0</v>
      </c>
      <c r="G155" s="330" t="s">
        <v>2472</v>
      </c>
      <c r="H155" s="330" t="s">
        <v>699</v>
      </c>
      <c r="I155" s="326" t="s">
        <v>700</v>
      </c>
      <c r="J155" s="326"/>
      <c r="K155" s="334">
        <f t="shared" si="4"/>
        <v>0</v>
      </c>
      <c r="L155" s="334">
        <v>0</v>
      </c>
      <c r="M155" s="334"/>
      <c r="N155" s="334">
        <f t="shared" si="5"/>
        <v>0</v>
      </c>
      <c r="O155" s="334">
        <v>0</v>
      </c>
      <c r="P155" s="334"/>
    </row>
    <row r="156" spans="1:16" ht="25.5">
      <c r="A156" s="177">
        <v>305</v>
      </c>
      <c r="B156" s="326">
        <v>100</v>
      </c>
      <c r="C156" s="326">
        <v>150</v>
      </c>
      <c r="D156" s="326">
        <v>500</v>
      </c>
      <c r="E156" s="326">
        <v>30</v>
      </c>
      <c r="F156" s="326">
        <v>0</v>
      </c>
      <c r="G156" s="330" t="s">
        <v>2473</v>
      </c>
      <c r="H156" s="330" t="s">
        <v>701</v>
      </c>
      <c r="I156" s="326" t="s">
        <v>702</v>
      </c>
      <c r="J156" s="326"/>
      <c r="K156" s="334">
        <f t="shared" si="4"/>
        <v>0</v>
      </c>
      <c r="L156" s="334">
        <v>0</v>
      </c>
      <c r="M156" s="334"/>
      <c r="N156" s="334">
        <f t="shared" si="5"/>
        <v>0</v>
      </c>
      <c r="O156" s="334">
        <v>0</v>
      </c>
      <c r="P156" s="334"/>
    </row>
    <row r="157" spans="1:16" ht="25.5">
      <c r="A157" s="177">
        <v>305</v>
      </c>
      <c r="B157" s="326">
        <v>100</v>
      </c>
      <c r="C157" s="326">
        <v>150</v>
      </c>
      <c r="D157" s="326">
        <v>500</v>
      </c>
      <c r="E157" s="326">
        <v>35</v>
      </c>
      <c r="F157" s="326">
        <v>0</v>
      </c>
      <c r="G157" s="330" t="s">
        <v>2474</v>
      </c>
      <c r="H157" s="330" t="s">
        <v>703</v>
      </c>
      <c r="I157" s="326" t="s">
        <v>704</v>
      </c>
      <c r="J157" s="326"/>
      <c r="K157" s="334">
        <f t="shared" si="4"/>
        <v>0</v>
      </c>
      <c r="L157" s="334">
        <v>0</v>
      </c>
      <c r="M157" s="334"/>
      <c r="N157" s="334">
        <f t="shared" si="5"/>
        <v>0</v>
      </c>
      <c r="O157" s="334">
        <v>0</v>
      </c>
      <c r="P157" s="334"/>
    </row>
    <row r="158" spans="1:16" ht="25.5">
      <c r="A158" s="177">
        <v>305</v>
      </c>
      <c r="B158" s="326">
        <v>100</v>
      </c>
      <c r="C158" s="326">
        <v>150</v>
      </c>
      <c r="D158" s="326">
        <v>500</v>
      </c>
      <c r="E158" s="326">
        <v>40</v>
      </c>
      <c r="F158" s="326">
        <v>0</v>
      </c>
      <c r="G158" s="330" t="s">
        <v>2475</v>
      </c>
      <c r="H158" s="330" t="s">
        <v>705</v>
      </c>
      <c r="I158" s="326" t="s">
        <v>706</v>
      </c>
      <c r="J158" s="326"/>
      <c r="K158" s="334">
        <f t="shared" si="4"/>
        <v>0</v>
      </c>
      <c r="L158" s="334">
        <v>0</v>
      </c>
      <c r="M158" s="334"/>
      <c r="N158" s="334">
        <f t="shared" si="5"/>
        <v>0</v>
      </c>
      <c r="O158" s="334">
        <v>0</v>
      </c>
      <c r="P158" s="334"/>
    </row>
    <row r="159" spans="1:16" ht="25.5">
      <c r="A159" s="177">
        <v>305</v>
      </c>
      <c r="B159" s="326">
        <v>100</v>
      </c>
      <c r="C159" s="326">
        <v>150</v>
      </c>
      <c r="D159" s="326">
        <v>500</v>
      </c>
      <c r="E159" s="326">
        <v>45</v>
      </c>
      <c r="F159" s="326">
        <v>0</v>
      </c>
      <c r="G159" s="330" t="s">
        <v>2476</v>
      </c>
      <c r="H159" s="330" t="s">
        <v>707</v>
      </c>
      <c r="I159" s="326" t="s">
        <v>708</v>
      </c>
      <c r="J159" s="326"/>
      <c r="K159" s="334">
        <f t="shared" si="4"/>
        <v>0</v>
      </c>
      <c r="L159" s="334">
        <v>0</v>
      </c>
      <c r="M159" s="334"/>
      <c r="N159" s="334">
        <f t="shared" si="5"/>
        <v>0</v>
      </c>
      <c r="O159" s="334">
        <v>0</v>
      </c>
      <c r="P159" s="334"/>
    </row>
    <row r="160" spans="1:16" ht="25.5">
      <c r="A160" s="177">
        <v>305</v>
      </c>
      <c r="B160" s="326">
        <v>100</v>
      </c>
      <c r="C160" s="326">
        <v>150</v>
      </c>
      <c r="D160" s="326">
        <v>600</v>
      </c>
      <c r="E160" s="326">
        <v>0</v>
      </c>
      <c r="F160" s="326">
        <v>0</v>
      </c>
      <c r="G160" s="330" t="s">
        <v>2477</v>
      </c>
      <c r="H160" s="330" t="s">
        <v>709</v>
      </c>
      <c r="I160" s="326" t="s">
        <v>710</v>
      </c>
      <c r="J160" s="326"/>
      <c r="K160" s="334">
        <f t="shared" si="4"/>
        <v>0</v>
      </c>
      <c r="L160" s="334">
        <v>0</v>
      </c>
      <c r="M160" s="334"/>
      <c r="N160" s="334">
        <f t="shared" si="5"/>
        <v>0</v>
      </c>
      <c r="O160" s="334">
        <v>0</v>
      </c>
      <c r="P160" s="334"/>
    </row>
    <row r="161" spans="1:16" ht="51">
      <c r="A161" s="177">
        <v>305</v>
      </c>
      <c r="B161" s="326">
        <v>100</v>
      </c>
      <c r="C161" s="326">
        <v>150</v>
      </c>
      <c r="D161" s="326">
        <v>700</v>
      </c>
      <c r="E161" s="326">
        <v>0</v>
      </c>
      <c r="F161" s="326">
        <v>0</v>
      </c>
      <c r="G161" s="330" t="s">
        <v>2478</v>
      </c>
      <c r="H161" s="330" t="s">
        <v>711</v>
      </c>
      <c r="I161" s="326" t="s">
        <v>712</v>
      </c>
      <c r="J161" s="326"/>
      <c r="K161" s="334">
        <f t="shared" si="4"/>
        <v>0</v>
      </c>
      <c r="L161" s="334">
        <v>0</v>
      </c>
      <c r="M161" s="334"/>
      <c r="N161" s="334">
        <f t="shared" si="5"/>
        <v>0</v>
      </c>
      <c r="O161" s="334">
        <v>0</v>
      </c>
      <c r="P161" s="334"/>
    </row>
    <row r="162" spans="1:16">
      <c r="A162" s="177">
        <v>305</v>
      </c>
      <c r="B162" s="326">
        <v>100</v>
      </c>
      <c r="C162" s="326">
        <v>200</v>
      </c>
      <c r="D162" s="326">
        <v>0</v>
      </c>
      <c r="E162" s="326">
        <v>0</v>
      </c>
      <c r="F162" s="326">
        <v>0</v>
      </c>
      <c r="G162" s="340" t="s">
        <v>2479</v>
      </c>
      <c r="H162" s="340" t="s">
        <v>713</v>
      </c>
      <c r="I162" s="332" t="s">
        <v>714</v>
      </c>
      <c r="J162" s="333"/>
      <c r="K162" s="335">
        <f t="shared" si="4"/>
        <v>0</v>
      </c>
      <c r="L162" s="335">
        <v>0</v>
      </c>
      <c r="M162" s="335"/>
      <c r="N162" s="335">
        <f t="shared" si="5"/>
        <v>0</v>
      </c>
      <c r="O162" s="335">
        <v>0</v>
      </c>
      <c r="P162" s="335"/>
    </row>
    <row r="163" spans="1:16" ht="25.5">
      <c r="A163" s="177">
        <v>305</v>
      </c>
      <c r="B163" s="326">
        <v>100</v>
      </c>
      <c r="C163" s="326">
        <v>200</v>
      </c>
      <c r="D163" s="326">
        <v>100</v>
      </c>
      <c r="E163" s="326">
        <v>0</v>
      </c>
      <c r="F163" s="326">
        <v>0</v>
      </c>
      <c r="G163" s="330" t="s">
        <v>2480</v>
      </c>
      <c r="H163" s="330" t="s">
        <v>672</v>
      </c>
      <c r="I163" s="332" t="s">
        <v>715</v>
      </c>
      <c r="J163" s="332" t="s">
        <v>1529</v>
      </c>
      <c r="K163" s="334">
        <f t="shared" si="4"/>
        <v>0</v>
      </c>
      <c r="L163" s="334">
        <v>0</v>
      </c>
      <c r="M163" s="334"/>
      <c r="N163" s="334">
        <f t="shared" si="5"/>
        <v>0</v>
      </c>
      <c r="O163" s="334">
        <v>0</v>
      </c>
      <c r="P163" s="334"/>
    </row>
    <row r="164" spans="1:16">
      <c r="A164" s="177">
        <v>305</v>
      </c>
      <c r="B164" s="326">
        <v>100</v>
      </c>
      <c r="C164" s="326">
        <v>200</v>
      </c>
      <c r="D164" s="326">
        <v>200</v>
      </c>
      <c r="E164" s="326">
        <v>0</v>
      </c>
      <c r="F164" s="326">
        <v>0</v>
      </c>
      <c r="G164" s="330" t="s">
        <v>2481</v>
      </c>
      <c r="H164" s="330" t="s">
        <v>678</v>
      </c>
      <c r="I164" s="326" t="s">
        <v>716</v>
      </c>
      <c r="J164" s="326"/>
      <c r="K164" s="334">
        <f t="shared" si="4"/>
        <v>0</v>
      </c>
      <c r="L164" s="334">
        <v>0</v>
      </c>
      <c r="M164" s="334"/>
      <c r="N164" s="334">
        <f t="shared" si="5"/>
        <v>0</v>
      </c>
      <c r="O164" s="334">
        <v>0</v>
      </c>
      <c r="P164" s="334"/>
    </row>
    <row r="165" spans="1:16" ht="25.5">
      <c r="A165" s="177">
        <v>305</v>
      </c>
      <c r="B165" s="326">
        <v>100</v>
      </c>
      <c r="C165" s="326">
        <v>200</v>
      </c>
      <c r="D165" s="326">
        <v>300</v>
      </c>
      <c r="E165" s="326">
        <v>0</v>
      </c>
      <c r="F165" s="326">
        <v>0</v>
      </c>
      <c r="G165" s="330" t="s">
        <v>2482</v>
      </c>
      <c r="H165" s="330" t="s">
        <v>717</v>
      </c>
      <c r="I165" s="326" t="s">
        <v>718</v>
      </c>
      <c r="J165" s="326" t="s">
        <v>1578</v>
      </c>
      <c r="K165" s="334">
        <f t="shared" si="4"/>
        <v>0</v>
      </c>
      <c r="L165" s="334">
        <v>0</v>
      </c>
      <c r="M165" s="334"/>
      <c r="N165" s="334">
        <f t="shared" si="5"/>
        <v>0</v>
      </c>
      <c r="O165" s="334">
        <v>0</v>
      </c>
      <c r="P165" s="334"/>
    </row>
    <row r="166" spans="1:16">
      <c r="A166" s="177">
        <v>305</v>
      </c>
      <c r="B166" s="326">
        <v>100</v>
      </c>
      <c r="C166" s="326">
        <v>200</v>
      </c>
      <c r="D166" s="326">
        <v>400</v>
      </c>
      <c r="E166" s="326">
        <v>0</v>
      </c>
      <c r="F166" s="326">
        <v>0</v>
      </c>
      <c r="G166" s="340" t="s">
        <v>2483</v>
      </c>
      <c r="H166" s="340" t="s">
        <v>719</v>
      </c>
      <c r="I166" s="326" t="s">
        <v>720</v>
      </c>
      <c r="J166" s="325"/>
      <c r="K166" s="335">
        <f t="shared" si="4"/>
        <v>0</v>
      </c>
      <c r="L166" s="335">
        <v>0</v>
      </c>
      <c r="M166" s="335"/>
      <c r="N166" s="335">
        <f t="shared" si="5"/>
        <v>0</v>
      </c>
      <c r="O166" s="335">
        <v>0</v>
      </c>
      <c r="P166" s="335"/>
    </row>
    <row r="167" spans="1:16" ht="25.5">
      <c r="A167" s="177">
        <v>305</v>
      </c>
      <c r="B167" s="326">
        <v>100</v>
      </c>
      <c r="C167" s="326">
        <v>200</v>
      </c>
      <c r="D167" s="326">
        <v>400</v>
      </c>
      <c r="E167" s="326">
        <v>10</v>
      </c>
      <c r="F167" s="326">
        <v>0</v>
      </c>
      <c r="G167" s="330" t="s">
        <v>2484</v>
      </c>
      <c r="H167" s="330" t="s">
        <v>721</v>
      </c>
      <c r="I167" s="326"/>
      <c r="J167" s="326"/>
      <c r="K167" s="334">
        <f t="shared" si="4"/>
        <v>0</v>
      </c>
      <c r="L167" s="334">
        <v>0</v>
      </c>
      <c r="M167" s="334"/>
      <c r="N167" s="334">
        <f t="shared" si="5"/>
        <v>0</v>
      </c>
      <c r="O167" s="334">
        <v>0</v>
      </c>
      <c r="P167" s="334"/>
    </row>
    <row r="168" spans="1:16" ht="25.5">
      <c r="A168" s="177">
        <v>305</v>
      </c>
      <c r="B168" s="326">
        <v>100</v>
      </c>
      <c r="C168" s="326">
        <v>200</v>
      </c>
      <c r="D168" s="326">
        <v>400</v>
      </c>
      <c r="E168" s="326">
        <v>20</v>
      </c>
      <c r="F168" s="326">
        <v>0</v>
      </c>
      <c r="G168" s="330" t="s">
        <v>2485</v>
      </c>
      <c r="H168" s="330" t="s">
        <v>722</v>
      </c>
      <c r="I168" s="326"/>
      <c r="J168" s="326"/>
      <c r="K168" s="334">
        <f t="shared" si="4"/>
        <v>0</v>
      </c>
      <c r="L168" s="334">
        <v>0</v>
      </c>
      <c r="M168" s="334"/>
      <c r="N168" s="334">
        <f t="shared" si="5"/>
        <v>0</v>
      </c>
      <c r="O168" s="334">
        <v>0</v>
      </c>
      <c r="P168" s="334"/>
    </row>
    <row r="169" spans="1:16">
      <c r="A169" s="177">
        <v>305</v>
      </c>
      <c r="B169" s="326">
        <v>100</v>
      </c>
      <c r="C169" s="326">
        <v>200</v>
      </c>
      <c r="D169" s="326">
        <v>500</v>
      </c>
      <c r="E169" s="326">
        <v>0</v>
      </c>
      <c r="F169" s="326">
        <v>0</v>
      </c>
      <c r="G169" s="340" t="s">
        <v>2486</v>
      </c>
      <c r="H169" s="340" t="s">
        <v>723</v>
      </c>
      <c r="I169" s="326" t="s">
        <v>724</v>
      </c>
      <c r="J169" s="325"/>
      <c r="K169" s="335">
        <f t="shared" si="4"/>
        <v>0</v>
      </c>
      <c r="L169" s="335">
        <v>0</v>
      </c>
      <c r="M169" s="335"/>
      <c r="N169" s="335">
        <f t="shared" si="5"/>
        <v>0</v>
      </c>
      <c r="O169" s="335">
        <v>0</v>
      </c>
      <c r="P169" s="335"/>
    </row>
    <row r="170" spans="1:16" ht="25.5">
      <c r="A170" s="177">
        <v>305</v>
      </c>
      <c r="B170" s="326">
        <v>100</v>
      </c>
      <c r="C170" s="326">
        <v>200</v>
      </c>
      <c r="D170" s="326">
        <v>500</v>
      </c>
      <c r="E170" s="326">
        <v>10</v>
      </c>
      <c r="F170" s="326">
        <v>0</v>
      </c>
      <c r="G170" s="330" t="s">
        <v>2487</v>
      </c>
      <c r="H170" s="330" t="s">
        <v>721</v>
      </c>
      <c r="I170" s="326"/>
      <c r="J170" s="326"/>
      <c r="K170" s="334">
        <f t="shared" si="4"/>
        <v>0</v>
      </c>
      <c r="L170" s="334">
        <v>0</v>
      </c>
      <c r="M170" s="334"/>
      <c r="N170" s="334">
        <f t="shared" si="5"/>
        <v>0</v>
      </c>
      <c r="O170" s="334">
        <v>0</v>
      </c>
      <c r="P170" s="334"/>
    </row>
    <row r="171" spans="1:16" ht="25.5">
      <c r="A171" s="177">
        <v>305</v>
      </c>
      <c r="B171" s="326">
        <v>100</v>
      </c>
      <c r="C171" s="326">
        <v>200</v>
      </c>
      <c r="D171" s="326">
        <v>500</v>
      </c>
      <c r="E171" s="326">
        <v>20</v>
      </c>
      <c r="F171" s="326">
        <v>0</v>
      </c>
      <c r="G171" s="330" t="s">
        <v>2488</v>
      </c>
      <c r="H171" s="330" t="s">
        <v>722</v>
      </c>
      <c r="I171" s="326"/>
      <c r="J171" s="326"/>
      <c r="K171" s="334">
        <f t="shared" si="4"/>
        <v>0</v>
      </c>
      <c r="L171" s="334">
        <v>0</v>
      </c>
      <c r="M171" s="334"/>
      <c r="N171" s="334">
        <f t="shared" si="5"/>
        <v>0</v>
      </c>
      <c r="O171" s="334">
        <v>0</v>
      </c>
      <c r="P171" s="334"/>
    </row>
    <row r="172" spans="1:16">
      <c r="A172" s="177">
        <v>305</v>
      </c>
      <c r="B172" s="326">
        <v>100</v>
      </c>
      <c r="C172" s="326">
        <v>250</v>
      </c>
      <c r="D172" s="326">
        <v>0</v>
      </c>
      <c r="E172" s="326">
        <v>0</v>
      </c>
      <c r="F172" s="326">
        <v>0</v>
      </c>
      <c r="G172" s="331" t="s">
        <v>2489</v>
      </c>
      <c r="H172" s="331" t="s">
        <v>725</v>
      </c>
      <c r="I172" s="332" t="s">
        <v>726</v>
      </c>
      <c r="J172" s="333"/>
      <c r="K172" s="335">
        <f t="shared" si="4"/>
        <v>0</v>
      </c>
      <c r="L172" s="335">
        <v>0</v>
      </c>
      <c r="M172" s="335"/>
      <c r="N172" s="335">
        <f t="shared" si="5"/>
        <v>0</v>
      </c>
      <c r="O172" s="335">
        <v>0</v>
      </c>
      <c r="P172" s="335"/>
    </row>
    <row r="173" spans="1:16" ht="25.5">
      <c r="A173" s="177">
        <v>305</v>
      </c>
      <c r="B173" s="326">
        <v>100</v>
      </c>
      <c r="C173" s="326">
        <v>250</v>
      </c>
      <c r="D173" s="326">
        <v>100</v>
      </c>
      <c r="E173" s="326">
        <v>0</v>
      </c>
      <c r="F173" s="326">
        <v>0</v>
      </c>
      <c r="G173" s="330" t="s">
        <v>2490</v>
      </c>
      <c r="H173" s="330" t="s">
        <v>727</v>
      </c>
      <c r="I173" s="332" t="s">
        <v>728</v>
      </c>
      <c r="J173" s="332" t="s">
        <v>1529</v>
      </c>
      <c r="K173" s="334">
        <f t="shared" si="4"/>
        <v>0</v>
      </c>
      <c r="L173" s="334">
        <v>0</v>
      </c>
      <c r="M173" s="334"/>
      <c r="N173" s="334">
        <f t="shared" si="5"/>
        <v>0</v>
      </c>
      <c r="O173" s="334">
        <v>0</v>
      </c>
      <c r="P173" s="334"/>
    </row>
    <row r="174" spans="1:16">
      <c r="A174" s="177">
        <v>305</v>
      </c>
      <c r="B174" s="326">
        <v>100</v>
      </c>
      <c r="C174" s="326">
        <v>250</v>
      </c>
      <c r="D174" s="326">
        <v>200</v>
      </c>
      <c r="E174" s="326">
        <v>0</v>
      </c>
      <c r="F174" s="326">
        <v>0</v>
      </c>
      <c r="G174" s="330" t="s">
        <v>2491</v>
      </c>
      <c r="H174" s="330" t="s">
        <v>678</v>
      </c>
      <c r="I174" s="326" t="s">
        <v>729</v>
      </c>
      <c r="J174" s="326"/>
      <c r="K174" s="334">
        <f t="shared" si="4"/>
        <v>0</v>
      </c>
      <c r="L174" s="334">
        <v>0</v>
      </c>
      <c r="M174" s="334"/>
      <c r="N174" s="334">
        <f t="shared" si="5"/>
        <v>0</v>
      </c>
      <c r="O174" s="334">
        <v>0</v>
      </c>
      <c r="P174" s="334"/>
    </row>
    <row r="175" spans="1:16">
      <c r="A175" s="177">
        <v>305</v>
      </c>
      <c r="B175" s="326">
        <v>100</v>
      </c>
      <c r="C175" s="326">
        <v>250</v>
      </c>
      <c r="D175" s="326">
        <v>300</v>
      </c>
      <c r="E175" s="326">
        <v>0</v>
      </c>
      <c r="F175" s="326">
        <v>0</v>
      </c>
      <c r="G175" s="330" t="s">
        <v>2492</v>
      </c>
      <c r="H175" s="330" t="s">
        <v>668</v>
      </c>
      <c r="I175" s="326" t="s">
        <v>730</v>
      </c>
      <c r="J175" s="326" t="s">
        <v>1574</v>
      </c>
      <c r="K175" s="334">
        <f t="shared" si="4"/>
        <v>0</v>
      </c>
      <c r="L175" s="334">
        <v>0</v>
      </c>
      <c r="M175" s="334"/>
      <c r="N175" s="334">
        <f t="shared" si="5"/>
        <v>0</v>
      </c>
      <c r="O175" s="334">
        <v>0</v>
      </c>
      <c r="P175" s="334"/>
    </row>
    <row r="176" spans="1:16">
      <c r="A176" s="177">
        <v>305</v>
      </c>
      <c r="B176" s="326">
        <v>100</v>
      </c>
      <c r="C176" s="326">
        <v>250</v>
      </c>
      <c r="D176" s="326">
        <v>400</v>
      </c>
      <c r="E176" s="326">
        <v>0</v>
      </c>
      <c r="F176" s="326">
        <v>0</v>
      </c>
      <c r="G176" s="340" t="s">
        <v>2493</v>
      </c>
      <c r="H176" s="340" t="s">
        <v>731</v>
      </c>
      <c r="I176" s="326" t="s">
        <v>732</v>
      </c>
      <c r="J176" s="325"/>
      <c r="K176" s="335">
        <f t="shared" si="4"/>
        <v>0</v>
      </c>
      <c r="L176" s="335">
        <v>0</v>
      </c>
      <c r="M176" s="335"/>
      <c r="N176" s="335">
        <f t="shared" si="5"/>
        <v>0</v>
      </c>
      <c r="O176" s="335">
        <v>0</v>
      </c>
      <c r="P176" s="335"/>
    </row>
    <row r="177" spans="1:16">
      <c r="A177" s="177">
        <v>305</v>
      </c>
      <c r="B177" s="326">
        <v>100</v>
      </c>
      <c r="C177" s="326">
        <v>250</v>
      </c>
      <c r="D177" s="326">
        <v>400</v>
      </c>
      <c r="E177" s="326">
        <v>10</v>
      </c>
      <c r="F177" s="326">
        <v>0</v>
      </c>
      <c r="G177" s="330" t="s">
        <v>2494</v>
      </c>
      <c r="H177" s="330" t="s">
        <v>733</v>
      </c>
      <c r="I177" s="326"/>
      <c r="J177" s="326"/>
      <c r="K177" s="334">
        <f t="shared" si="4"/>
        <v>0</v>
      </c>
      <c r="L177" s="334">
        <v>0</v>
      </c>
      <c r="M177" s="334"/>
      <c r="N177" s="334">
        <f t="shared" si="5"/>
        <v>0</v>
      </c>
      <c r="O177" s="334">
        <v>0</v>
      </c>
      <c r="P177" s="334"/>
    </row>
    <row r="178" spans="1:16">
      <c r="A178" s="177">
        <v>305</v>
      </c>
      <c r="B178" s="326">
        <v>100</v>
      </c>
      <c r="C178" s="326">
        <v>250</v>
      </c>
      <c r="D178" s="326">
        <v>400</v>
      </c>
      <c r="E178" s="326">
        <v>20</v>
      </c>
      <c r="F178" s="326">
        <v>0</v>
      </c>
      <c r="G178" s="330" t="s">
        <v>2495</v>
      </c>
      <c r="H178" s="330" t="s">
        <v>734</v>
      </c>
      <c r="I178" s="326"/>
      <c r="J178" s="326"/>
      <c r="K178" s="334">
        <f t="shared" si="4"/>
        <v>0</v>
      </c>
      <c r="L178" s="334">
        <v>0</v>
      </c>
      <c r="M178" s="334"/>
      <c r="N178" s="334">
        <f t="shared" si="5"/>
        <v>0</v>
      </c>
      <c r="O178" s="334">
        <v>0</v>
      </c>
      <c r="P178" s="334"/>
    </row>
    <row r="179" spans="1:16">
      <c r="A179" s="177">
        <v>305</v>
      </c>
      <c r="B179" s="326">
        <v>100</v>
      </c>
      <c r="C179" s="326">
        <v>250</v>
      </c>
      <c r="D179" s="326">
        <v>400</v>
      </c>
      <c r="E179" s="326">
        <v>90</v>
      </c>
      <c r="F179" s="326">
        <v>0</v>
      </c>
      <c r="G179" s="330" t="s">
        <v>2497</v>
      </c>
      <c r="H179" s="330" t="s">
        <v>736</v>
      </c>
      <c r="I179" s="338"/>
      <c r="J179" s="338"/>
      <c r="K179" s="334">
        <f t="shared" si="4"/>
        <v>0</v>
      </c>
      <c r="L179" s="334">
        <v>0</v>
      </c>
      <c r="M179" s="334"/>
      <c r="N179" s="334">
        <f t="shared" si="5"/>
        <v>0</v>
      </c>
      <c r="O179" s="334">
        <v>0</v>
      </c>
      <c r="P179" s="334"/>
    </row>
    <row r="180" spans="1:16">
      <c r="A180" s="177">
        <v>305</v>
      </c>
      <c r="B180" s="326">
        <v>100</v>
      </c>
      <c r="C180" s="326">
        <v>300</v>
      </c>
      <c r="D180" s="326">
        <v>0</v>
      </c>
      <c r="E180" s="326">
        <v>0</v>
      </c>
      <c r="F180" s="326">
        <v>0</v>
      </c>
      <c r="G180" s="331" t="s">
        <v>2498</v>
      </c>
      <c r="H180" s="331" t="s">
        <v>737</v>
      </c>
      <c r="I180" s="332" t="s">
        <v>738</v>
      </c>
      <c r="J180" s="333" t="s">
        <v>1529</v>
      </c>
      <c r="K180" s="335">
        <f t="shared" si="4"/>
        <v>0</v>
      </c>
      <c r="L180" s="335">
        <v>0</v>
      </c>
      <c r="M180" s="335"/>
      <c r="N180" s="335">
        <f t="shared" si="5"/>
        <v>0</v>
      </c>
      <c r="O180" s="335">
        <v>0</v>
      </c>
      <c r="P180" s="335"/>
    </row>
    <row r="181" spans="1:16" ht="25.5">
      <c r="A181" s="177">
        <v>305</v>
      </c>
      <c r="B181" s="326">
        <v>100</v>
      </c>
      <c r="C181" s="326">
        <v>300</v>
      </c>
      <c r="D181" s="326">
        <v>100</v>
      </c>
      <c r="E181" s="326">
        <v>0</v>
      </c>
      <c r="F181" s="326">
        <v>0</v>
      </c>
      <c r="G181" s="330" t="s">
        <v>2499</v>
      </c>
      <c r="H181" s="330" t="s">
        <v>672</v>
      </c>
      <c r="I181" s="332" t="s">
        <v>738</v>
      </c>
      <c r="J181" s="332" t="s">
        <v>1529</v>
      </c>
      <c r="K181" s="334">
        <f t="shared" si="4"/>
        <v>0</v>
      </c>
      <c r="L181" s="334">
        <v>0</v>
      </c>
      <c r="M181" s="334"/>
      <c r="N181" s="334">
        <f t="shared" si="5"/>
        <v>0</v>
      </c>
      <c r="O181" s="334">
        <v>0</v>
      </c>
      <c r="P181" s="334"/>
    </row>
    <row r="182" spans="1:16">
      <c r="A182" s="177">
        <v>305</v>
      </c>
      <c r="B182" s="326">
        <v>100</v>
      </c>
      <c r="C182" s="326">
        <v>300</v>
      </c>
      <c r="D182" s="326">
        <v>200</v>
      </c>
      <c r="E182" s="326">
        <v>0</v>
      </c>
      <c r="F182" s="326">
        <v>0</v>
      </c>
      <c r="G182" s="330" t="s">
        <v>2500</v>
      </c>
      <c r="H182" s="330" t="s">
        <v>678</v>
      </c>
      <c r="I182" s="326" t="s">
        <v>739</v>
      </c>
      <c r="J182" s="326"/>
      <c r="K182" s="334">
        <f t="shared" si="4"/>
        <v>0</v>
      </c>
      <c r="L182" s="334">
        <v>0</v>
      </c>
      <c r="M182" s="334"/>
      <c r="N182" s="334">
        <f t="shared" si="5"/>
        <v>0</v>
      </c>
      <c r="O182" s="334">
        <v>0</v>
      </c>
      <c r="P182" s="334"/>
    </row>
    <row r="183" spans="1:16">
      <c r="A183" s="177">
        <v>305</v>
      </c>
      <c r="B183" s="326">
        <v>100</v>
      </c>
      <c r="C183" s="326">
        <v>300</v>
      </c>
      <c r="D183" s="326">
        <v>300</v>
      </c>
      <c r="E183" s="326">
        <v>0</v>
      </c>
      <c r="F183" s="326">
        <v>0</v>
      </c>
      <c r="G183" s="330" t="s">
        <v>2501</v>
      </c>
      <c r="H183" s="330" t="s">
        <v>668</v>
      </c>
      <c r="I183" s="326" t="s">
        <v>740</v>
      </c>
      <c r="J183" s="326" t="s">
        <v>1574</v>
      </c>
      <c r="K183" s="334">
        <f t="shared" si="4"/>
        <v>0</v>
      </c>
      <c r="L183" s="334">
        <v>0</v>
      </c>
      <c r="M183" s="334"/>
      <c r="N183" s="334">
        <f t="shared" si="5"/>
        <v>0</v>
      </c>
      <c r="O183" s="334">
        <v>0</v>
      </c>
      <c r="P183" s="334"/>
    </row>
    <row r="184" spans="1:16">
      <c r="A184" s="177">
        <v>305</v>
      </c>
      <c r="B184" s="326">
        <v>100</v>
      </c>
      <c r="C184" s="326">
        <v>300</v>
      </c>
      <c r="D184" s="326">
        <v>400</v>
      </c>
      <c r="E184" s="326">
        <v>0</v>
      </c>
      <c r="F184" s="326">
        <v>0</v>
      </c>
      <c r="G184" s="331" t="s">
        <v>2502</v>
      </c>
      <c r="H184" s="331" t="s">
        <v>691</v>
      </c>
      <c r="I184" s="326" t="s">
        <v>741</v>
      </c>
      <c r="J184" s="325"/>
      <c r="K184" s="335">
        <f t="shared" si="4"/>
        <v>0</v>
      </c>
      <c r="L184" s="335">
        <v>0</v>
      </c>
      <c r="M184" s="335"/>
      <c r="N184" s="335">
        <f t="shared" si="5"/>
        <v>0</v>
      </c>
      <c r="O184" s="335">
        <v>0</v>
      </c>
      <c r="P184" s="335"/>
    </row>
    <row r="185" spans="1:16" ht="25.5">
      <c r="A185" s="177">
        <v>305</v>
      </c>
      <c r="B185" s="326">
        <v>100</v>
      </c>
      <c r="C185" s="326">
        <v>300</v>
      </c>
      <c r="D185" s="326">
        <v>400</v>
      </c>
      <c r="E185" s="326">
        <v>10</v>
      </c>
      <c r="F185" s="326">
        <v>0</v>
      </c>
      <c r="G185" s="330" t="s">
        <v>2503</v>
      </c>
      <c r="H185" s="330" t="s">
        <v>742</v>
      </c>
      <c r="I185" s="326"/>
      <c r="J185" s="326"/>
      <c r="K185" s="334">
        <f t="shared" si="4"/>
        <v>0</v>
      </c>
      <c r="L185" s="334">
        <v>0</v>
      </c>
      <c r="M185" s="334"/>
      <c r="N185" s="334">
        <f t="shared" si="5"/>
        <v>0</v>
      </c>
      <c r="O185" s="334">
        <v>0</v>
      </c>
      <c r="P185" s="334"/>
    </row>
    <row r="186" spans="1:16">
      <c r="A186" s="177">
        <v>305</v>
      </c>
      <c r="B186" s="326">
        <v>100</v>
      </c>
      <c r="C186" s="326">
        <v>300</v>
      </c>
      <c r="D186" s="326">
        <v>400</v>
      </c>
      <c r="E186" s="326">
        <v>20</v>
      </c>
      <c r="F186" s="326">
        <v>0</v>
      </c>
      <c r="G186" s="330" t="s">
        <v>2504</v>
      </c>
      <c r="H186" s="330" t="s">
        <v>743</v>
      </c>
      <c r="I186" s="326"/>
      <c r="J186" s="326"/>
      <c r="K186" s="334">
        <f t="shared" si="4"/>
        <v>0</v>
      </c>
      <c r="L186" s="334">
        <v>0</v>
      </c>
      <c r="M186" s="334"/>
      <c r="N186" s="334">
        <f t="shared" si="5"/>
        <v>0</v>
      </c>
      <c r="O186" s="334">
        <v>0</v>
      </c>
      <c r="P186" s="334"/>
    </row>
    <row r="187" spans="1:16">
      <c r="A187" s="177">
        <v>305</v>
      </c>
      <c r="B187" s="326">
        <v>100</v>
      </c>
      <c r="C187" s="326">
        <v>350</v>
      </c>
      <c r="D187" s="326">
        <v>0</v>
      </c>
      <c r="E187" s="326">
        <v>0</v>
      </c>
      <c r="F187" s="326">
        <v>0</v>
      </c>
      <c r="G187" s="331" t="s">
        <v>2505</v>
      </c>
      <c r="H187" s="331" t="s">
        <v>744</v>
      </c>
      <c r="I187" s="326" t="s">
        <v>745</v>
      </c>
      <c r="J187" s="325"/>
      <c r="K187" s="335">
        <f t="shared" si="4"/>
        <v>0</v>
      </c>
      <c r="L187" s="335">
        <v>0</v>
      </c>
      <c r="M187" s="335"/>
      <c r="N187" s="335">
        <f t="shared" si="5"/>
        <v>0</v>
      </c>
      <c r="O187" s="335">
        <v>0</v>
      </c>
      <c r="P187" s="335"/>
    </row>
    <row r="188" spans="1:16">
      <c r="A188" s="177">
        <v>305</v>
      </c>
      <c r="B188" s="326">
        <v>100</v>
      </c>
      <c r="C188" s="326">
        <v>350</v>
      </c>
      <c r="D188" s="326">
        <v>100</v>
      </c>
      <c r="E188" s="326">
        <v>0</v>
      </c>
      <c r="F188" s="326">
        <v>0</v>
      </c>
      <c r="G188" s="340" t="s">
        <v>2506</v>
      </c>
      <c r="H188" s="340" t="s">
        <v>672</v>
      </c>
      <c r="I188" s="326" t="s">
        <v>746</v>
      </c>
      <c r="J188" s="325" t="s">
        <v>1529</v>
      </c>
      <c r="K188" s="335">
        <f t="shared" si="4"/>
        <v>0</v>
      </c>
      <c r="L188" s="335">
        <v>0</v>
      </c>
      <c r="M188" s="335"/>
      <c r="N188" s="335">
        <f t="shared" si="5"/>
        <v>0</v>
      </c>
      <c r="O188" s="335">
        <v>0</v>
      </c>
      <c r="P188" s="335"/>
    </row>
    <row r="189" spans="1:16" ht="25.5">
      <c r="A189" s="177">
        <v>305</v>
      </c>
      <c r="B189" s="326">
        <v>100</v>
      </c>
      <c r="C189" s="326">
        <v>350</v>
      </c>
      <c r="D189" s="326">
        <v>100</v>
      </c>
      <c r="E189" s="326">
        <v>10</v>
      </c>
      <c r="F189" s="326">
        <v>0</v>
      </c>
      <c r="G189" s="330" t="s">
        <v>2507</v>
      </c>
      <c r="H189" s="330" t="s">
        <v>747</v>
      </c>
      <c r="I189" s="326"/>
      <c r="J189" s="326" t="s">
        <v>1529</v>
      </c>
      <c r="K189" s="334">
        <f t="shared" si="4"/>
        <v>0</v>
      </c>
      <c r="L189" s="334">
        <v>0</v>
      </c>
      <c r="M189" s="334"/>
      <c r="N189" s="334">
        <f t="shared" si="5"/>
        <v>0</v>
      </c>
      <c r="O189" s="334">
        <v>0</v>
      </c>
      <c r="P189" s="334"/>
    </row>
    <row r="190" spans="1:16" ht="25.5">
      <c r="A190" s="177">
        <v>305</v>
      </c>
      <c r="B190" s="326">
        <v>100</v>
      </c>
      <c r="C190" s="326">
        <v>350</v>
      </c>
      <c r="D190" s="326">
        <v>100</v>
      </c>
      <c r="E190" s="326">
        <v>20</v>
      </c>
      <c r="F190" s="326">
        <v>0</v>
      </c>
      <c r="G190" s="330" t="s">
        <v>2508</v>
      </c>
      <c r="H190" s="330" t="s">
        <v>748</v>
      </c>
      <c r="I190" s="326"/>
      <c r="J190" s="326" t="s">
        <v>1529</v>
      </c>
      <c r="K190" s="334">
        <f t="shared" si="4"/>
        <v>0</v>
      </c>
      <c r="L190" s="334">
        <v>0</v>
      </c>
      <c r="M190" s="334"/>
      <c r="N190" s="334">
        <f t="shared" si="5"/>
        <v>0</v>
      </c>
      <c r="O190" s="334">
        <v>0</v>
      </c>
      <c r="P190" s="334"/>
    </row>
    <row r="191" spans="1:16">
      <c r="A191" s="177">
        <v>305</v>
      </c>
      <c r="B191" s="326">
        <v>100</v>
      </c>
      <c r="C191" s="326">
        <v>350</v>
      </c>
      <c r="D191" s="326">
        <v>200</v>
      </c>
      <c r="E191" s="326">
        <v>0</v>
      </c>
      <c r="F191" s="326">
        <v>0</v>
      </c>
      <c r="G191" s="330" t="s">
        <v>2509</v>
      </c>
      <c r="H191" s="330" t="s">
        <v>678</v>
      </c>
      <c r="I191" s="326" t="s">
        <v>749</v>
      </c>
      <c r="J191" s="326"/>
      <c r="K191" s="334">
        <f t="shared" si="4"/>
        <v>0</v>
      </c>
      <c r="L191" s="334">
        <v>0</v>
      </c>
      <c r="M191" s="334"/>
      <c r="N191" s="334">
        <f t="shared" si="5"/>
        <v>0</v>
      </c>
      <c r="O191" s="334">
        <v>0</v>
      </c>
      <c r="P191" s="334"/>
    </row>
    <row r="192" spans="1:16">
      <c r="A192" s="177">
        <v>305</v>
      </c>
      <c r="B192" s="326">
        <v>100</v>
      </c>
      <c r="C192" s="326">
        <v>350</v>
      </c>
      <c r="D192" s="326">
        <v>300</v>
      </c>
      <c r="E192" s="326">
        <v>0</v>
      </c>
      <c r="F192" s="326">
        <v>0</v>
      </c>
      <c r="G192" s="340" t="s">
        <v>2510</v>
      </c>
      <c r="H192" s="340" t="s">
        <v>668</v>
      </c>
      <c r="I192" s="326" t="s">
        <v>750</v>
      </c>
      <c r="J192" s="325" t="s">
        <v>1574</v>
      </c>
      <c r="K192" s="335">
        <f t="shared" si="4"/>
        <v>0</v>
      </c>
      <c r="L192" s="335">
        <v>0</v>
      </c>
      <c r="M192" s="335"/>
      <c r="N192" s="335">
        <f t="shared" si="5"/>
        <v>0</v>
      </c>
      <c r="O192" s="335">
        <v>0</v>
      </c>
      <c r="P192" s="335"/>
    </row>
    <row r="193" spans="1:16" ht="25.5">
      <c r="A193" s="177">
        <v>305</v>
      </c>
      <c r="B193" s="326">
        <v>100</v>
      </c>
      <c r="C193" s="326">
        <v>350</v>
      </c>
      <c r="D193" s="326">
        <v>300</v>
      </c>
      <c r="E193" s="326">
        <v>10</v>
      </c>
      <c r="F193" s="326">
        <v>0</v>
      </c>
      <c r="G193" s="330" t="s">
        <v>2511</v>
      </c>
      <c r="H193" s="330" t="s">
        <v>751</v>
      </c>
      <c r="I193" s="326"/>
      <c r="J193" s="326" t="s">
        <v>1574</v>
      </c>
      <c r="K193" s="334">
        <f t="shared" si="4"/>
        <v>0</v>
      </c>
      <c r="L193" s="334">
        <v>0</v>
      </c>
      <c r="M193" s="334"/>
      <c r="N193" s="334">
        <f t="shared" si="5"/>
        <v>0</v>
      </c>
      <c r="O193" s="334">
        <v>0</v>
      </c>
      <c r="P193" s="334"/>
    </row>
    <row r="194" spans="1:16">
      <c r="A194" s="177">
        <v>305</v>
      </c>
      <c r="B194" s="326">
        <v>100</v>
      </c>
      <c r="C194" s="326">
        <v>350</v>
      </c>
      <c r="D194" s="326">
        <v>400</v>
      </c>
      <c r="E194" s="326">
        <v>0</v>
      </c>
      <c r="F194" s="326">
        <v>0</v>
      </c>
      <c r="G194" s="340" t="s">
        <v>2513</v>
      </c>
      <c r="H194" s="340" t="s">
        <v>691</v>
      </c>
      <c r="I194" s="326" t="s">
        <v>753</v>
      </c>
      <c r="J194" s="325"/>
      <c r="K194" s="335">
        <f t="shared" si="4"/>
        <v>0</v>
      </c>
      <c r="L194" s="335">
        <v>0</v>
      </c>
      <c r="M194" s="335"/>
      <c r="N194" s="335">
        <f t="shared" si="5"/>
        <v>0</v>
      </c>
      <c r="O194" s="335">
        <v>0</v>
      </c>
      <c r="P194" s="335"/>
    </row>
    <row r="195" spans="1:16" ht="25.5">
      <c r="A195" s="177">
        <v>305</v>
      </c>
      <c r="B195" s="326">
        <v>100</v>
      </c>
      <c r="C195" s="326">
        <v>350</v>
      </c>
      <c r="D195" s="326">
        <v>400</v>
      </c>
      <c r="E195" s="326">
        <v>10</v>
      </c>
      <c r="F195" s="326">
        <v>0</v>
      </c>
      <c r="G195" s="330" t="s">
        <v>2514</v>
      </c>
      <c r="H195" s="330" t="s">
        <v>754</v>
      </c>
      <c r="I195" s="326" t="s">
        <v>755</v>
      </c>
      <c r="J195" s="326"/>
      <c r="K195" s="334">
        <f t="shared" si="4"/>
        <v>0</v>
      </c>
      <c r="L195" s="334">
        <v>0</v>
      </c>
      <c r="M195" s="334"/>
      <c r="N195" s="334">
        <f t="shared" si="5"/>
        <v>0</v>
      </c>
      <c r="O195" s="334">
        <v>0</v>
      </c>
      <c r="P195" s="334"/>
    </row>
    <row r="196" spans="1:16" ht="25.5">
      <c r="A196" s="177">
        <v>305</v>
      </c>
      <c r="B196" s="326">
        <v>100</v>
      </c>
      <c r="C196" s="326">
        <v>350</v>
      </c>
      <c r="D196" s="326">
        <v>400</v>
      </c>
      <c r="E196" s="326">
        <v>20</v>
      </c>
      <c r="F196" s="326">
        <v>0</v>
      </c>
      <c r="G196" s="330" t="s">
        <v>2515</v>
      </c>
      <c r="H196" s="330" t="s">
        <v>756</v>
      </c>
      <c r="I196" s="326" t="s">
        <v>757</v>
      </c>
      <c r="J196" s="326"/>
      <c r="K196" s="334">
        <f t="shared" si="4"/>
        <v>0</v>
      </c>
      <c r="L196" s="334">
        <v>0</v>
      </c>
      <c r="M196" s="334"/>
      <c r="N196" s="334">
        <f t="shared" si="5"/>
        <v>0</v>
      </c>
      <c r="O196" s="334">
        <v>0</v>
      </c>
      <c r="P196" s="334"/>
    </row>
    <row r="197" spans="1:16" ht="25.5">
      <c r="A197" s="177">
        <v>305</v>
      </c>
      <c r="B197" s="326">
        <v>100</v>
      </c>
      <c r="C197" s="326">
        <v>350</v>
      </c>
      <c r="D197" s="326">
        <v>400</v>
      </c>
      <c r="E197" s="326">
        <v>30</v>
      </c>
      <c r="F197" s="326">
        <v>0</v>
      </c>
      <c r="G197" s="330" t="s">
        <v>2516</v>
      </c>
      <c r="H197" s="330" t="s">
        <v>758</v>
      </c>
      <c r="I197" s="326" t="s">
        <v>759</v>
      </c>
      <c r="J197" s="326"/>
      <c r="K197" s="334">
        <f t="shared" si="4"/>
        <v>0</v>
      </c>
      <c r="L197" s="334">
        <v>0</v>
      </c>
      <c r="M197" s="334"/>
      <c r="N197" s="334">
        <f t="shared" si="5"/>
        <v>0</v>
      </c>
      <c r="O197" s="334">
        <v>0</v>
      </c>
      <c r="P197" s="334"/>
    </row>
    <row r="198" spans="1:16" ht="25.5">
      <c r="A198" s="177">
        <v>305</v>
      </c>
      <c r="B198" s="326">
        <v>100</v>
      </c>
      <c r="C198" s="326">
        <v>350</v>
      </c>
      <c r="D198" s="326">
        <v>400</v>
      </c>
      <c r="E198" s="326">
        <v>40</v>
      </c>
      <c r="F198" s="326">
        <v>0</v>
      </c>
      <c r="G198" s="330" t="s">
        <v>2517</v>
      </c>
      <c r="H198" s="330" t="s">
        <v>760</v>
      </c>
      <c r="I198" s="326" t="s">
        <v>761</v>
      </c>
      <c r="J198" s="326"/>
      <c r="K198" s="334">
        <f t="shared" si="4"/>
        <v>0</v>
      </c>
      <c r="L198" s="334">
        <v>0</v>
      </c>
      <c r="M198" s="334"/>
      <c r="N198" s="334">
        <f t="shared" si="5"/>
        <v>0</v>
      </c>
      <c r="O198" s="334">
        <v>0</v>
      </c>
      <c r="P198" s="334"/>
    </row>
    <row r="199" spans="1:16" ht="25.5">
      <c r="A199" s="177">
        <v>305</v>
      </c>
      <c r="B199" s="326">
        <v>100</v>
      </c>
      <c r="C199" s="326">
        <v>350</v>
      </c>
      <c r="D199" s="326">
        <v>500</v>
      </c>
      <c r="E199" s="326">
        <v>0</v>
      </c>
      <c r="F199" s="326">
        <v>0</v>
      </c>
      <c r="G199" s="340" t="s">
        <v>2518</v>
      </c>
      <c r="H199" s="340" t="s">
        <v>709</v>
      </c>
      <c r="I199" s="326" t="s">
        <v>762</v>
      </c>
      <c r="J199" s="326"/>
      <c r="K199" s="334">
        <f t="shared" ref="K199:K262" si="6">+L199+M199</f>
        <v>0</v>
      </c>
      <c r="L199" s="334">
        <v>0</v>
      </c>
      <c r="M199" s="334"/>
      <c r="N199" s="334">
        <f t="shared" ref="N199:N262" si="7">+O199+P199</f>
        <v>0</v>
      </c>
      <c r="O199" s="334">
        <v>0</v>
      </c>
      <c r="P199" s="334"/>
    </row>
    <row r="200" spans="1:16" ht="25.5">
      <c r="A200" s="177">
        <v>305</v>
      </c>
      <c r="B200" s="326">
        <v>100</v>
      </c>
      <c r="C200" s="326">
        <v>400</v>
      </c>
      <c r="D200" s="326">
        <v>0</v>
      </c>
      <c r="E200" s="326">
        <v>0</v>
      </c>
      <c r="F200" s="326">
        <v>0</v>
      </c>
      <c r="G200" s="331" t="s">
        <v>2519</v>
      </c>
      <c r="H200" s="331" t="s">
        <v>763</v>
      </c>
      <c r="I200" s="326" t="s">
        <v>764</v>
      </c>
      <c r="J200" s="325"/>
      <c r="K200" s="335">
        <f t="shared" si="6"/>
        <v>0</v>
      </c>
      <c r="L200" s="335">
        <v>0</v>
      </c>
      <c r="M200" s="335"/>
      <c r="N200" s="335">
        <f t="shared" si="7"/>
        <v>0</v>
      </c>
      <c r="O200" s="335">
        <v>0</v>
      </c>
      <c r="P200" s="335"/>
    </row>
    <row r="201" spans="1:16" ht="25.5">
      <c r="A201" s="177">
        <v>305</v>
      </c>
      <c r="B201" s="326">
        <v>100</v>
      </c>
      <c r="C201" s="326">
        <v>400</v>
      </c>
      <c r="D201" s="326">
        <v>100</v>
      </c>
      <c r="E201" s="326">
        <v>0</v>
      </c>
      <c r="F201" s="326">
        <v>0</v>
      </c>
      <c r="G201" s="330" t="s">
        <v>2520</v>
      </c>
      <c r="H201" s="330" t="s">
        <v>672</v>
      </c>
      <c r="I201" s="332" t="s">
        <v>765</v>
      </c>
      <c r="J201" s="332" t="s">
        <v>1529</v>
      </c>
      <c r="K201" s="334">
        <f t="shared" si="6"/>
        <v>0</v>
      </c>
      <c r="L201" s="334">
        <v>0</v>
      </c>
      <c r="M201" s="334"/>
      <c r="N201" s="334">
        <f t="shared" si="7"/>
        <v>0</v>
      </c>
      <c r="O201" s="334">
        <v>0</v>
      </c>
      <c r="P201" s="334"/>
    </row>
    <row r="202" spans="1:16">
      <c r="A202" s="177">
        <v>305</v>
      </c>
      <c r="B202" s="326">
        <v>100</v>
      </c>
      <c r="C202" s="326">
        <v>400</v>
      </c>
      <c r="D202" s="326">
        <v>200</v>
      </c>
      <c r="E202" s="326">
        <v>0</v>
      </c>
      <c r="F202" s="326">
        <v>0</v>
      </c>
      <c r="G202" s="330" t="s">
        <v>2521</v>
      </c>
      <c r="H202" s="330" t="s">
        <v>678</v>
      </c>
      <c r="I202" s="326" t="s">
        <v>766</v>
      </c>
      <c r="J202" s="326"/>
      <c r="K202" s="334">
        <f t="shared" si="6"/>
        <v>0</v>
      </c>
      <c r="L202" s="334">
        <v>0</v>
      </c>
      <c r="M202" s="334"/>
      <c r="N202" s="334">
        <f t="shared" si="7"/>
        <v>0</v>
      </c>
      <c r="O202" s="334">
        <v>0</v>
      </c>
      <c r="P202" s="334"/>
    </row>
    <row r="203" spans="1:16" ht="25.5">
      <c r="A203" s="177">
        <v>305</v>
      </c>
      <c r="B203" s="326">
        <v>100</v>
      </c>
      <c r="C203" s="326">
        <v>400</v>
      </c>
      <c r="D203" s="326">
        <v>300</v>
      </c>
      <c r="E203" s="326">
        <v>0</v>
      </c>
      <c r="F203" s="326">
        <v>0</v>
      </c>
      <c r="G203" s="330" t="s">
        <v>2522</v>
      </c>
      <c r="H203" s="330" t="s">
        <v>767</v>
      </c>
      <c r="I203" s="326" t="s">
        <v>768</v>
      </c>
      <c r="J203" s="326" t="s">
        <v>1578</v>
      </c>
      <c r="K203" s="334">
        <f t="shared" si="6"/>
        <v>0</v>
      </c>
      <c r="L203" s="334">
        <v>0</v>
      </c>
      <c r="M203" s="334"/>
      <c r="N203" s="334">
        <f t="shared" si="7"/>
        <v>0</v>
      </c>
      <c r="O203" s="334">
        <v>0</v>
      </c>
      <c r="P203" s="334"/>
    </row>
    <row r="204" spans="1:16">
      <c r="A204" s="177">
        <v>305</v>
      </c>
      <c r="B204" s="326">
        <v>100</v>
      </c>
      <c r="C204" s="326">
        <v>400</v>
      </c>
      <c r="D204" s="326">
        <v>400</v>
      </c>
      <c r="E204" s="326">
        <v>0</v>
      </c>
      <c r="F204" s="326">
        <v>0</v>
      </c>
      <c r="G204" s="330" t="s">
        <v>2523</v>
      </c>
      <c r="H204" s="330" t="s">
        <v>719</v>
      </c>
      <c r="I204" s="326" t="s">
        <v>769</v>
      </c>
      <c r="J204" s="326"/>
      <c r="K204" s="334">
        <f t="shared" si="6"/>
        <v>0</v>
      </c>
      <c r="L204" s="334">
        <v>0</v>
      </c>
      <c r="M204" s="334"/>
      <c r="N204" s="334">
        <f t="shared" si="7"/>
        <v>0</v>
      </c>
      <c r="O204" s="334">
        <v>0</v>
      </c>
      <c r="P204" s="334"/>
    </row>
    <row r="205" spans="1:16">
      <c r="A205" s="177">
        <v>305</v>
      </c>
      <c r="B205" s="326">
        <v>100</v>
      </c>
      <c r="C205" s="326">
        <v>400</v>
      </c>
      <c r="D205" s="326">
        <v>500</v>
      </c>
      <c r="E205" s="326">
        <v>0</v>
      </c>
      <c r="F205" s="326">
        <v>0</v>
      </c>
      <c r="G205" s="330" t="s">
        <v>2524</v>
      </c>
      <c r="H205" s="330" t="s">
        <v>723</v>
      </c>
      <c r="I205" s="326" t="s">
        <v>770</v>
      </c>
      <c r="J205" s="326"/>
      <c r="K205" s="334">
        <f t="shared" si="6"/>
        <v>0</v>
      </c>
      <c r="L205" s="334">
        <v>0</v>
      </c>
      <c r="M205" s="334"/>
      <c r="N205" s="334">
        <f t="shared" si="7"/>
        <v>0</v>
      </c>
      <c r="O205" s="334">
        <v>0</v>
      </c>
      <c r="P205" s="334"/>
    </row>
    <row r="206" spans="1:16">
      <c r="A206" s="177">
        <v>305</v>
      </c>
      <c r="B206" s="326">
        <v>100</v>
      </c>
      <c r="C206" s="326">
        <v>450</v>
      </c>
      <c r="D206" s="326">
        <v>0</v>
      </c>
      <c r="E206" s="326">
        <v>0</v>
      </c>
      <c r="F206" s="326">
        <v>0</v>
      </c>
      <c r="G206" s="331" t="s">
        <v>2525</v>
      </c>
      <c r="H206" s="331" t="s">
        <v>771</v>
      </c>
      <c r="I206" s="326" t="s">
        <v>772</v>
      </c>
      <c r="J206" s="325"/>
      <c r="K206" s="335">
        <f t="shared" si="6"/>
        <v>0</v>
      </c>
      <c r="L206" s="335">
        <v>0</v>
      </c>
      <c r="M206" s="335"/>
      <c r="N206" s="335">
        <f t="shared" si="7"/>
        <v>0</v>
      </c>
      <c r="O206" s="335">
        <v>0</v>
      </c>
      <c r="P206" s="335"/>
    </row>
    <row r="207" spans="1:16" ht="25.5">
      <c r="A207" s="177">
        <v>305</v>
      </c>
      <c r="B207" s="326">
        <v>100</v>
      </c>
      <c r="C207" s="326">
        <v>450</v>
      </c>
      <c r="D207" s="326">
        <v>100</v>
      </c>
      <c r="E207" s="326">
        <v>0</v>
      </c>
      <c r="F207" s="326">
        <v>0</v>
      </c>
      <c r="G207" s="340" t="s">
        <v>2526</v>
      </c>
      <c r="H207" s="340" t="s">
        <v>657</v>
      </c>
      <c r="I207" s="326" t="s">
        <v>773</v>
      </c>
      <c r="J207" s="325" t="s">
        <v>1529</v>
      </c>
      <c r="K207" s="335">
        <f t="shared" si="6"/>
        <v>0</v>
      </c>
      <c r="L207" s="335">
        <v>0</v>
      </c>
      <c r="M207" s="335"/>
      <c r="N207" s="335">
        <f t="shared" si="7"/>
        <v>0</v>
      </c>
      <c r="O207" s="335">
        <v>0</v>
      </c>
      <c r="P207" s="335"/>
    </row>
    <row r="208" spans="1:16">
      <c r="A208" s="177">
        <v>305</v>
      </c>
      <c r="B208" s="326">
        <v>100</v>
      </c>
      <c r="C208" s="326">
        <v>450</v>
      </c>
      <c r="D208" s="326">
        <v>100</v>
      </c>
      <c r="E208" s="326">
        <v>10</v>
      </c>
      <c r="F208" s="326">
        <v>0</v>
      </c>
      <c r="G208" s="330" t="s">
        <v>2527</v>
      </c>
      <c r="H208" s="330" t="s">
        <v>774</v>
      </c>
      <c r="I208" s="338"/>
      <c r="J208" s="338" t="s">
        <v>1529</v>
      </c>
      <c r="K208" s="334">
        <f t="shared" si="6"/>
        <v>0</v>
      </c>
      <c r="L208" s="334">
        <v>0</v>
      </c>
      <c r="M208" s="334"/>
      <c r="N208" s="334">
        <f t="shared" si="7"/>
        <v>0</v>
      </c>
      <c r="O208" s="334">
        <v>0</v>
      </c>
      <c r="P208" s="334"/>
    </row>
    <row r="209" spans="1:16">
      <c r="A209" s="177">
        <v>305</v>
      </c>
      <c r="B209" s="326">
        <v>100</v>
      </c>
      <c r="C209" s="326">
        <v>450</v>
      </c>
      <c r="D209" s="326">
        <v>100</v>
      </c>
      <c r="E209" s="326">
        <v>20</v>
      </c>
      <c r="F209" s="326">
        <v>0</v>
      </c>
      <c r="G209" s="330" t="s">
        <v>2528</v>
      </c>
      <c r="H209" s="330" t="s">
        <v>775</v>
      </c>
      <c r="I209" s="338"/>
      <c r="J209" s="338" t="s">
        <v>1529</v>
      </c>
      <c r="K209" s="334">
        <f t="shared" si="6"/>
        <v>0</v>
      </c>
      <c r="L209" s="334">
        <v>0</v>
      </c>
      <c r="M209" s="334"/>
      <c r="N209" s="334">
        <f t="shared" si="7"/>
        <v>0</v>
      </c>
      <c r="O209" s="334">
        <v>0</v>
      </c>
      <c r="P209" s="334"/>
    </row>
    <row r="210" spans="1:16">
      <c r="A210" s="177">
        <v>305</v>
      </c>
      <c r="B210" s="326">
        <v>100</v>
      </c>
      <c r="C210" s="326">
        <v>450</v>
      </c>
      <c r="D210" s="326">
        <v>200</v>
      </c>
      <c r="E210" s="326">
        <v>0</v>
      </c>
      <c r="F210" s="326">
        <v>0</v>
      </c>
      <c r="G210" s="330" t="s">
        <v>2529</v>
      </c>
      <c r="H210" s="330" t="s">
        <v>678</v>
      </c>
      <c r="I210" s="326" t="s">
        <v>776</v>
      </c>
      <c r="J210" s="326"/>
      <c r="K210" s="334">
        <f t="shared" si="6"/>
        <v>0</v>
      </c>
      <c r="L210" s="334">
        <v>0</v>
      </c>
      <c r="M210" s="334"/>
      <c r="N210" s="334">
        <f t="shared" si="7"/>
        <v>0</v>
      </c>
      <c r="O210" s="334">
        <v>0</v>
      </c>
      <c r="P210" s="334"/>
    </row>
    <row r="211" spans="1:16">
      <c r="A211" s="177">
        <v>305</v>
      </c>
      <c r="B211" s="326">
        <v>100</v>
      </c>
      <c r="C211" s="326">
        <v>450</v>
      </c>
      <c r="D211" s="326">
        <v>300</v>
      </c>
      <c r="E211" s="326">
        <v>0</v>
      </c>
      <c r="F211" s="326">
        <v>0</v>
      </c>
      <c r="G211" s="330" t="s">
        <v>2530</v>
      </c>
      <c r="H211" s="330" t="s">
        <v>668</v>
      </c>
      <c r="I211" s="326" t="s">
        <v>777</v>
      </c>
      <c r="J211" s="326" t="s">
        <v>1574</v>
      </c>
      <c r="K211" s="334">
        <f t="shared" si="6"/>
        <v>0</v>
      </c>
      <c r="L211" s="334">
        <v>0</v>
      </c>
      <c r="M211" s="334"/>
      <c r="N211" s="334">
        <f t="shared" si="7"/>
        <v>0</v>
      </c>
      <c r="O211" s="334">
        <v>0</v>
      </c>
      <c r="P211" s="334"/>
    </row>
    <row r="212" spans="1:16">
      <c r="A212" s="177">
        <v>305</v>
      </c>
      <c r="B212" s="326">
        <v>100</v>
      </c>
      <c r="C212" s="326">
        <v>450</v>
      </c>
      <c r="D212" s="326">
        <v>400</v>
      </c>
      <c r="E212" s="326">
        <v>0</v>
      </c>
      <c r="F212" s="326">
        <v>0</v>
      </c>
      <c r="G212" s="340" t="s">
        <v>2531</v>
      </c>
      <c r="H212" s="340" t="s">
        <v>719</v>
      </c>
      <c r="I212" s="326" t="s">
        <v>778</v>
      </c>
      <c r="J212" s="325"/>
      <c r="K212" s="335">
        <f t="shared" si="6"/>
        <v>0</v>
      </c>
      <c r="L212" s="335">
        <v>0</v>
      </c>
      <c r="M212" s="335"/>
      <c r="N212" s="335">
        <f t="shared" si="7"/>
        <v>0</v>
      </c>
      <c r="O212" s="335">
        <v>0</v>
      </c>
      <c r="P212" s="335"/>
    </row>
    <row r="213" spans="1:16">
      <c r="A213" s="177">
        <v>305</v>
      </c>
      <c r="B213" s="326">
        <v>100</v>
      </c>
      <c r="C213" s="326">
        <v>450</v>
      </c>
      <c r="D213" s="326">
        <v>400</v>
      </c>
      <c r="E213" s="326">
        <v>90</v>
      </c>
      <c r="F213" s="326">
        <v>0</v>
      </c>
      <c r="G213" s="330" t="s">
        <v>2533</v>
      </c>
      <c r="H213" s="330" t="s">
        <v>3457</v>
      </c>
      <c r="I213" s="326"/>
      <c r="J213" s="326"/>
      <c r="K213" s="334">
        <f t="shared" si="6"/>
        <v>0</v>
      </c>
      <c r="L213" s="334">
        <v>0</v>
      </c>
      <c r="M213" s="334"/>
      <c r="N213" s="334">
        <f t="shared" si="7"/>
        <v>0</v>
      </c>
      <c r="O213" s="334">
        <v>0</v>
      </c>
      <c r="P213" s="334"/>
    </row>
    <row r="214" spans="1:16">
      <c r="A214" s="177">
        <v>305</v>
      </c>
      <c r="B214" s="326">
        <v>100</v>
      </c>
      <c r="C214" s="326">
        <v>450</v>
      </c>
      <c r="D214" s="326">
        <v>500</v>
      </c>
      <c r="E214" s="326">
        <v>0</v>
      </c>
      <c r="F214" s="326">
        <v>0</v>
      </c>
      <c r="G214" s="330" t="s">
        <v>2534</v>
      </c>
      <c r="H214" s="330" t="s">
        <v>723</v>
      </c>
      <c r="I214" s="326" t="s">
        <v>779</v>
      </c>
      <c r="J214" s="326"/>
      <c r="K214" s="334">
        <f t="shared" si="6"/>
        <v>0</v>
      </c>
      <c r="L214" s="334">
        <v>0</v>
      </c>
      <c r="M214" s="334"/>
      <c r="N214" s="334">
        <f t="shared" si="7"/>
        <v>0</v>
      </c>
      <c r="O214" s="334">
        <v>0</v>
      </c>
      <c r="P214" s="334"/>
    </row>
    <row r="215" spans="1:16" ht="25.5">
      <c r="A215" s="177">
        <v>305</v>
      </c>
      <c r="B215" s="326">
        <v>100</v>
      </c>
      <c r="C215" s="326">
        <v>450</v>
      </c>
      <c r="D215" s="326">
        <v>600</v>
      </c>
      <c r="E215" s="326">
        <v>0</v>
      </c>
      <c r="F215" s="326">
        <v>0</v>
      </c>
      <c r="G215" s="330" t="s">
        <v>2535</v>
      </c>
      <c r="H215" s="330" t="s">
        <v>709</v>
      </c>
      <c r="I215" s="326" t="s">
        <v>780</v>
      </c>
      <c r="J215" s="326"/>
      <c r="K215" s="334">
        <f t="shared" si="6"/>
        <v>0</v>
      </c>
      <c r="L215" s="334">
        <v>0</v>
      </c>
      <c r="M215" s="334"/>
      <c r="N215" s="334">
        <f t="shared" si="7"/>
        <v>0</v>
      </c>
      <c r="O215" s="334">
        <v>0</v>
      </c>
      <c r="P215" s="334"/>
    </row>
    <row r="216" spans="1:16">
      <c r="A216" s="177">
        <v>305</v>
      </c>
      <c r="B216" s="326">
        <v>100</v>
      </c>
      <c r="C216" s="326">
        <v>500</v>
      </c>
      <c r="D216" s="326">
        <v>0</v>
      </c>
      <c r="E216" s="326">
        <v>0</v>
      </c>
      <c r="F216" s="326">
        <v>0</v>
      </c>
      <c r="G216" s="331" t="s">
        <v>2536</v>
      </c>
      <c r="H216" s="331" t="s">
        <v>781</v>
      </c>
      <c r="I216" s="326" t="s">
        <v>782</v>
      </c>
      <c r="J216" s="325"/>
      <c r="K216" s="335">
        <f t="shared" si="6"/>
        <v>0</v>
      </c>
      <c r="L216" s="335">
        <v>0</v>
      </c>
      <c r="M216" s="335"/>
      <c r="N216" s="335">
        <f t="shared" si="7"/>
        <v>0</v>
      </c>
      <c r="O216" s="335">
        <v>0</v>
      </c>
      <c r="P216" s="335"/>
    </row>
    <row r="217" spans="1:16" ht="25.5">
      <c r="A217" s="177">
        <v>305</v>
      </c>
      <c r="B217" s="326">
        <v>100</v>
      </c>
      <c r="C217" s="326">
        <v>500</v>
      </c>
      <c r="D217" s="326">
        <v>100</v>
      </c>
      <c r="E217" s="326">
        <v>0</v>
      </c>
      <c r="F217" s="326">
        <v>0</v>
      </c>
      <c r="G217" s="330" t="s">
        <v>2537</v>
      </c>
      <c r="H217" s="330" t="s">
        <v>657</v>
      </c>
      <c r="I217" s="332" t="s">
        <v>783</v>
      </c>
      <c r="J217" s="332" t="s">
        <v>1529</v>
      </c>
      <c r="K217" s="334">
        <f t="shared" si="6"/>
        <v>0</v>
      </c>
      <c r="L217" s="334">
        <v>0</v>
      </c>
      <c r="M217" s="334"/>
      <c r="N217" s="334">
        <f t="shared" si="7"/>
        <v>0</v>
      </c>
      <c r="O217" s="334">
        <v>0</v>
      </c>
      <c r="P217" s="334"/>
    </row>
    <row r="218" spans="1:16">
      <c r="A218" s="177">
        <v>305</v>
      </c>
      <c r="B218" s="326">
        <v>100</v>
      </c>
      <c r="C218" s="326">
        <v>500</v>
      </c>
      <c r="D218" s="326">
        <v>200</v>
      </c>
      <c r="E218" s="326">
        <v>0</v>
      </c>
      <c r="F218" s="326">
        <v>0</v>
      </c>
      <c r="G218" s="330" t="s">
        <v>2538</v>
      </c>
      <c r="H218" s="330" t="s">
        <v>678</v>
      </c>
      <c r="I218" s="326" t="s">
        <v>784</v>
      </c>
      <c r="J218" s="326"/>
      <c r="K218" s="334">
        <f t="shared" si="6"/>
        <v>0</v>
      </c>
      <c r="L218" s="334">
        <v>0</v>
      </c>
      <c r="M218" s="334"/>
      <c r="N218" s="334">
        <f t="shared" si="7"/>
        <v>0</v>
      </c>
      <c r="O218" s="334">
        <v>0</v>
      </c>
      <c r="P218" s="334"/>
    </row>
    <row r="219" spans="1:16">
      <c r="A219" s="177">
        <v>305</v>
      </c>
      <c r="B219" s="326">
        <v>100</v>
      </c>
      <c r="C219" s="326">
        <v>500</v>
      </c>
      <c r="D219" s="326">
        <v>300</v>
      </c>
      <c r="E219" s="326">
        <v>0</v>
      </c>
      <c r="F219" s="326">
        <v>0</v>
      </c>
      <c r="G219" s="330" t="s">
        <v>2539</v>
      </c>
      <c r="H219" s="330" t="s">
        <v>668</v>
      </c>
      <c r="I219" s="326" t="s">
        <v>785</v>
      </c>
      <c r="J219" s="326" t="s">
        <v>1574</v>
      </c>
      <c r="K219" s="334">
        <f t="shared" si="6"/>
        <v>0</v>
      </c>
      <c r="L219" s="334">
        <v>0</v>
      </c>
      <c r="M219" s="334"/>
      <c r="N219" s="334">
        <f t="shared" si="7"/>
        <v>0</v>
      </c>
      <c r="O219" s="334">
        <v>0</v>
      </c>
      <c r="P219" s="334"/>
    </row>
    <row r="220" spans="1:16">
      <c r="A220" s="177">
        <v>305</v>
      </c>
      <c r="B220" s="326">
        <v>100</v>
      </c>
      <c r="C220" s="326">
        <v>500</v>
      </c>
      <c r="D220" s="326">
        <v>400</v>
      </c>
      <c r="E220" s="326">
        <v>0</v>
      </c>
      <c r="F220" s="326">
        <v>0</v>
      </c>
      <c r="G220" s="330" t="s">
        <v>2540</v>
      </c>
      <c r="H220" s="330" t="s">
        <v>691</v>
      </c>
      <c r="I220" s="326" t="s">
        <v>786</v>
      </c>
      <c r="J220" s="326"/>
      <c r="K220" s="334">
        <f t="shared" si="6"/>
        <v>0</v>
      </c>
      <c r="L220" s="334">
        <v>0</v>
      </c>
      <c r="M220" s="334"/>
      <c r="N220" s="334">
        <f t="shared" si="7"/>
        <v>0</v>
      </c>
      <c r="O220" s="334">
        <v>0</v>
      </c>
      <c r="P220" s="334"/>
    </row>
    <row r="221" spans="1:16" ht="25.5">
      <c r="A221" s="177">
        <v>305</v>
      </c>
      <c r="B221" s="326">
        <v>100</v>
      </c>
      <c r="C221" s="326">
        <v>500</v>
      </c>
      <c r="D221" s="326">
        <v>500</v>
      </c>
      <c r="E221" s="326">
        <v>0</v>
      </c>
      <c r="F221" s="326">
        <v>0</v>
      </c>
      <c r="G221" s="330" t="s">
        <v>2541</v>
      </c>
      <c r="H221" s="330" t="s">
        <v>709</v>
      </c>
      <c r="I221" s="326" t="s">
        <v>787</v>
      </c>
      <c r="J221" s="326"/>
      <c r="K221" s="334">
        <f t="shared" si="6"/>
        <v>0</v>
      </c>
      <c r="L221" s="334">
        <v>0</v>
      </c>
      <c r="M221" s="334"/>
      <c r="N221" s="334">
        <f t="shared" si="7"/>
        <v>0</v>
      </c>
      <c r="O221" s="334">
        <v>0</v>
      </c>
      <c r="P221" s="334"/>
    </row>
    <row r="222" spans="1:16">
      <c r="A222" s="177">
        <v>305</v>
      </c>
      <c r="B222" s="326">
        <v>100</v>
      </c>
      <c r="C222" s="326">
        <v>550</v>
      </c>
      <c r="D222" s="326">
        <v>0</v>
      </c>
      <c r="E222" s="326">
        <v>0</v>
      </c>
      <c r="F222" s="326">
        <v>0</v>
      </c>
      <c r="G222" s="331" t="s">
        <v>2542</v>
      </c>
      <c r="H222" s="331" t="s">
        <v>788</v>
      </c>
      <c r="I222" s="326" t="s">
        <v>789</v>
      </c>
      <c r="J222" s="325"/>
      <c r="K222" s="335">
        <f t="shared" si="6"/>
        <v>0</v>
      </c>
      <c r="L222" s="335">
        <v>0</v>
      </c>
      <c r="M222" s="335"/>
      <c r="N222" s="335">
        <f t="shared" si="7"/>
        <v>0</v>
      </c>
      <c r="O222" s="335">
        <v>0</v>
      </c>
      <c r="P222" s="335"/>
    </row>
    <row r="223" spans="1:16" ht="25.5">
      <c r="A223" s="177">
        <v>305</v>
      </c>
      <c r="B223" s="326">
        <v>100</v>
      </c>
      <c r="C223" s="326">
        <v>550</v>
      </c>
      <c r="D223" s="326">
        <v>100</v>
      </c>
      <c r="E223" s="326">
        <v>0</v>
      </c>
      <c r="F223" s="326">
        <v>0</v>
      </c>
      <c r="G223" s="330" t="s">
        <v>2543</v>
      </c>
      <c r="H223" s="330" t="s">
        <v>657</v>
      </c>
      <c r="I223" s="332" t="s">
        <v>790</v>
      </c>
      <c r="J223" s="332" t="s">
        <v>1529</v>
      </c>
      <c r="K223" s="334">
        <f t="shared" si="6"/>
        <v>0</v>
      </c>
      <c r="L223" s="334">
        <v>0</v>
      </c>
      <c r="M223" s="334"/>
      <c r="N223" s="334">
        <f t="shared" si="7"/>
        <v>0</v>
      </c>
      <c r="O223" s="334">
        <v>0</v>
      </c>
      <c r="P223" s="334"/>
    </row>
    <row r="224" spans="1:16">
      <c r="A224" s="177">
        <v>305</v>
      </c>
      <c r="B224" s="326">
        <v>100</v>
      </c>
      <c r="C224" s="326">
        <v>550</v>
      </c>
      <c r="D224" s="326">
        <v>200</v>
      </c>
      <c r="E224" s="326">
        <v>0</v>
      </c>
      <c r="F224" s="326">
        <v>0</v>
      </c>
      <c r="G224" s="330" t="s">
        <v>2544</v>
      </c>
      <c r="H224" s="330" t="s">
        <v>678</v>
      </c>
      <c r="I224" s="326" t="s">
        <v>791</v>
      </c>
      <c r="J224" s="326"/>
      <c r="K224" s="334">
        <f t="shared" si="6"/>
        <v>0</v>
      </c>
      <c r="L224" s="334">
        <v>0</v>
      </c>
      <c r="M224" s="334"/>
      <c r="N224" s="334">
        <f t="shared" si="7"/>
        <v>0</v>
      </c>
      <c r="O224" s="334">
        <v>0</v>
      </c>
      <c r="P224" s="334"/>
    </row>
    <row r="225" spans="1:16">
      <c r="A225" s="177">
        <v>305</v>
      </c>
      <c r="B225" s="326">
        <v>100</v>
      </c>
      <c r="C225" s="326">
        <v>550</v>
      </c>
      <c r="D225" s="326">
        <v>300</v>
      </c>
      <c r="E225" s="326">
        <v>0</v>
      </c>
      <c r="F225" s="326">
        <v>0</v>
      </c>
      <c r="G225" s="330" t="s">
        <v>2545</v>
      </c>
      <c r="H225" s="330" t="s">
        <v>668</v>
      </c>
      <c r="I225" s="326" t="s">
        <v>792</v>
      </c>
      <c r="J225" s="326" t="s">
        <v>1574</v>
      </c>
      <c r="K225" s="334">
        <f t="shared" si="6"/>
        <v>0</v>
      </c>
      <c r="L225" s="334">
        <v>0</v>
      </c>
      <c r="M225" s="334"/>
      <c r="N225" s="334">
        <f t="shared" si="7"/>
        <v>0</v>
      </c>
      <c r="O225" s="334">
        <v>0</v>
      </c>
      <c r="P225" s="334"/>
    </row>
    <row r="226" spans="1:16">
      <c r="A226" s="177">
        <v>305</v>
      </c>
      <c r="B226" s="326">
        <v>100</v>
      </c>
      <c r="C226" s="326">
        <v>550</v>
      </c>
      <c r="D226" s="326">
        <v>400</v>
      </c>
      <c r="E226" s="326">
        <v>0</v>
      </c>
      <c r="F226" s="326">
        <v>0</v>
      </c>
      <c r="G226" s="331" t="s">
        <v>2546</v>
      </c>
      <c r="H226" s="331" t="s">
        <v>691</v>
      </c>
      <c r="I226" s="326" t="s">
        <v>793</v>
      </c>
      <c r="J226" s="325"/>
      <c r="K226" s="335">
        <f t="shared" si="6"/>
        <v>0</v>
      </c>
      <c r="L226" s="335">
        <v>0</v>
      </c>
      <c r="M226" s="335"/>
      <c r="N226" s="335">
        <f t="shared" si="7"/>
        <v>0</v>
      </c>
      <c r="O226" s="335">
        <v>0</v>
      </c>
      <c r="P226" s="335"/>
    </row>
    <row r="227" spans="1:16">
      <c r="A227" s="177">
        <v>305</v>
      </c>
      <c r="B227" s="326">
        <v>100</v>
      </c>
      <c r="C227" s="326">
        <v>550</v>
      </c>
      <c r="D227" s="326">
        <v>400</v>
      </c>
      <c r="E227" s="326">
        <v>10</v>
      </c>
      <c r="F227" s="178">
        <v>0</v>
      </c>
      <c r="G227" s="330" t="s">
        <v>2547</v>
      </c>
      <c r="H227" s="330" t="s">
        <v>794</v>
      </c>
      <c r="I227" s="326"/>
      <c r="J227" s="326"/>
      <c r="K227" s="334">
        <f t="shared" si="6"/>
        <v>0</v>
      </c>
      <c r="L227" s="334">
        <v>0</v>
      </c>
      <c r="M227" s="334"/>
      <c r="N227" s="334">
        <f t="shared" si="7"/>
        <v>0</v>
      </c>
      <c r="O227" s="334">
        <v>0</v>
      </c>
      <c r="P227" s="334"/>
    </row>
    <row r="228" spans="1:16">
      <c r="A228" s="177">
        <v>305</v>
      </c>
      <c r="B228" s="326">
        <v>100</v>
      </c>
      <c r="C228" s="326">
        <v>550</v>
      </c>
      <c r="D228" s="326">
        <v>400</v>
      </c>
      <c r="E228" s="326">
        <v>20</v>
      </c>
      <c r="F228" s="178">
        <v>0</v>
      </c>
      <c r="G228" s="330" t="s">
        <v>2548</v>
      </c>
      <c r="H228" s="330" t="s">
        <v>795</v>
      </c>
      <c r="I228" s="326"/>
      <c r="J228" s="326"/>
      <c r="K228" s="334">
        <f t="shared" si="6"/>
        <v>110164.52</v>
      </c>
      <c r="L228" s="334">
        <v>110164.52</v>
      </c>
      <c r="M228" s="334"/>
      <c r="N228" s="334">
        <f t="shared" si="7"/>
        <v>104860.4</v>
      </c>
      <c r="O228" s="334">
        <v>104860.4</v>
      </c>
      <c r="P228" s="334"/>
    </row>
    <row r="229" spans="1:16">
      <c r="A229" s="177">
        <v>305</v>
      </c>
      <c r="B229" s="326">
        <v>100</v>
      </c>
      <c r="C229" s="326">
        <v>550</v>
      </c>
      <c r="D229" s="326">
        <v>400</v>
      </c>
      <c r="E229" s="326">
        <v>30</v>
      </c>
      <c r="F229" s="178">
        <v>0</v>
      </c>
      <c r="G229" s="330" t="s">
        <v>2549</v>
      </c>
      <c r="H229" s="330" t="s">
        <v>796</v>
      </c>
      <c r="I229" s="326"/>
      <c r="J229" s="326"/>
      <c r="K229" s="334">
        <f t="shared" si="6"/>
        <v>0</v>
      </c>
      <c r="L229" s="334">
        <v>0</v>
      </c>
      <c r="M229" s="334"/>
      <c r="N229" s="334">
        <f t="shared" si="7"/>
        <v>0</v>
      </c>
      <c r="O229" s="334">
        <v>0</v>
      </c>
      <c r="P229" s="334"/>
    </row>
    <row r="230" spans="1:16">
      <c r="A230" s="177">
        <v>305</v>
      </c>
      <c r="B230" s="326">
        <v>100</v>
      </c>
      <c r="C230" s="326">
        <v>550</v>
      </c>
      <c r="D230" s="326">
        <v>400</v>
      </c>
      <c r="E230" s="326">
        <v>40</v>
      </c>
      <c r="F230" s="178">
        <v>0</v>
      </c>
      <c r="G230" s="330" t="s">
        <v>2550</v>
      </c>
      <c r="H230" s="330" t="s">
        <v>797</v>
      </c>
      <c r="I230" s="326"/>
      <c r="J230" s="326"/>
      <c r="K230" s="334">
        <f t="shared" si="6"/>
        <v>0</v>
      </c>
      <c r="L230" s="334">
        <v>0</v>
      </c>
      <c r="M230" s="334"/>
      <c r="N230" s="334">
        <f t="shared" si="7"/>
        <v>0</v>
      </c>
      <c r="O230" s="334">
        <v>0</v>
      </c>
      <c r="P230" s="334"/>
    </row>
    <row r="231" spans="1:16">
      <c r="A231" s="177">
        <v>305</v>
      </c>
      <c r="B231" s="326">
        <v>100</v>
      </c>
      <c r="C231" s="326">
        <v>600</v>
      </c>
      <c r="D231" s="326">
        <v>0</v>
      </c>
      <c r="E231" s="326">
        <v>0</v>
      </c>
      <c r="F231" s="326">
        <v>0</v>
      </c>
      <c r="G231" s="331" t="s">
        <v>2551</v>
      </c>
      <c r="H231" s="331" t="s">
        <v>798</v>
      </c>
      <c r="I231" s="332" t="s">
        <v>799</v>
      </c>
      <c r="J231" s="333"/>
      <c r="K231" s="335">
        <f t="shared" si="6"/>
        <v>0</v>
      </c>
      <c r="L231" s="335">
        <v>0</v>
      </c>
      <c r="M231" s="335"/>
      <c r="N231" s="335">
        <f t="shared" si="7"/>
        <v>0</v>
      </c>
      <c r="O231" s="335">
        <v>0</v>
      </c>
      <c r="P231" s="335"/>
    </row>
    <row r="232" spans="1:16" ht="25.5">
      <c r="A232" s="177">
        <v>305</v>
      </c>
      <c r="B232" s="326">
        <v>100</v>
      </c>
      <c r="C232" s="326">
        <v>600</v>
      </c>
      <c r="D232" s="326">
        <v>100</v>
      </c>
      <c r="E232" s="326">
        <v>0</v>
      </c>
      <c r="F232" s="326">
        <v>0</v>
      </c>
      <c r="G232" s="331" t="s">
        <v>2552</v>
      </c>
      <c r="H232" s="331" t="s">
        <v>657</v>
      </c>
      <c r="I232" s="332" t="s">
        <v>800</v>
      </c>
      <c r="J232" s="333" t="s">
        <v>1529</v>
      </c>
      <c r="K232" s="335">
        <f t="shared" si="6"/>
        <v>0</v>
      </c>
      <c r="L232" s="335">
        <v>0</v>
      </c>
      <c r="M232" s="335"/>
      <c r="N232" s="335">
        <f t="shared" si="7"/>
        <v>0</v>
      </c>
      <c r="O232" s="335">
        <v>0</v>
      </c>
      <c r="P232" s="335"/>
    </row>
    <row r="233" spans="1:16">
      <c r="A233" s="177">
        <v>305</v>
      </c>
      <c r="B233" s="326">
        <v>100</v>
      </c>
      <c r="C233" s="326">
        <v>600</v>
      </c>
      <c r="D233" s="326">
        <v>100</v>
      </c>
      <c r="E233" s="326">
        <v>10</v>
      </c>
      <c r="F233" s="326">
        <v>0</v>
      </c>
      <c r="G233" s="330" t="s">
        <v>2553</v>
      </c>
      <c r="H233" s="330" t="s">
        <v>801</v>
      </c>
      <c r="I233" s="332" t="s">
        <v>802</v>
      </c>
      <c r="J233" s="333" t="s">
        <v>1529</v>
      </c>
      <c r="K233" s="336">
        <f t="shared" si="6"/>
        <v>0</v>
      </c>
      <c r="L233" s="336">
        <v>0</v>
      </c>
      <c r="M233" s="336"/>
      <c r="N233" s="336">
        <f t="shared" si="7"/>
        <v>0</v>
      </c>
      <c r="O233" s="336">
        <v>0</v>
      </c>
      <c r="P233" s="336"/>
    </row>
    <row r="234" spans="1:16">
      <c r="A234" s="177">
        <v>305</v>
      </c>
      <c r="B234" s="326">
        <v>100</v>
      </c>
      <c r="C234" s="326">
        <v>600</v>
      </c>
      <c r="D234" s="326">
        <v>100</v>
      </c>
      <c r="E234" s="326">
        <v>20</v>
      </c>
      <c r="F234" s="326">
        <v>0</v>
      </c>
      <c r="G234" s="330" t="s">
        <v>2554</v>
      </c>
      <c r="H234" s="330" t="s">
        <v>803</v>
      </c>
      <c r="I234" s="332" t="s">
        <v>804</v>
      </c>
      <c r="J234" s="333" t="s">
        <v>1529</v>
      </c>
      <c r="K234" s="336">
        <f t="shared" si="6"/>
        <v>0</v>
      </c>
      <c r="L234" s="336">
        <v>0</v>
      </c>
      <c r="M234" s="336"/>
      <c r="N234" s="336">
        <f t="shared" si="7"/>
        <v>0</v>
      </c>
      <c r="O234" s="336">
        <v>0</v>
      </c>
      <c r="P234" s="336"/>
    </row>
    <row r="235" spans="1:16">
      <c r="A235" s="177">
        <v>305</v>
      </c>
      <c r="B235" s="326">
        <v>100</v>
      </c>
      <c r="C235" s="326">
        <v>600</v>
      </c>
      <c r="D235" s="326">
        <v>200</v>
      </c>
      <c r="E235" s="326">
        <v>0</v>
      </c>
      <c r="F235" s="326">
        <v>0</v>
      </c>
      <c r="G235" s="340" t="s">
        <v>2555</v>
      </c>
      <c r="H235" s="340" t="s">
        <v>805</v>
      </c>
      <c r="I235" s="326" t="s">
        <v>806</v>
      </c>
      <c r="J235" s="325"/>
      <c r="K235" s="335">
        <f t="shared" si="6"/>
        <v>0</v>
      </c>
      <c r="L235" s="335">
        <v>0</v>
      </c>
      <c r="M235" s="335"/>
      <c r="N235" s="335">
        <f t="shared" si="7"/>
        <v>0</v>
      </c>
      <c r="O235" s="335">
        <v>0</v>
      </c>
      <c r="P235" s="335"/>
    </row>
    <row r="236" spans="1:16">
      <c r="A236" s="177">
        <v>305</v>
      </c>
      <c r="B236" s="326">
        <v>100</v>
      </c>
      <c r="C236" s="326">
        <v>600</v>
      </c>
      <c r="D236" s="326">
        <v>200</v>
      </c>
      <c r="E236" s="326">
        <v>10</v>
      </c>
      <c r="F236" s="178">
        <v>0</v>
      </c>
      <c r="G236" s="330" t="s">
        <v>2556</v>
      </c>
      <c r="H236" s="330" t="s">
        <v>807</v>
      </c>
      <c r="I236" s="326"/>
      <c r="J236" s="326"/>
      <c r="K236" s="334">
        <f t="shared" si="6"/>
        <v>0</v>
      </c>
      <c r="L236" s="334">
        <v>0</v>
      </c>
      <c r="M236" s="334"/>
      <c r="N236" s="334">
        <f t="shared" si="7"/>
        <v>0</v>
      </c>
      <c r="O236" s="334">
        <v>0</v>
      </c>
      <c r="P236" s="334"/>
    </row>
    <row r="237" spans="1:16" ht="25.5">
      <c r="A237" s="177">
        <v>305</v>
      </c>
      <c r="B237" s="326">
        <v>100</v>
      </c>
      <c r="C237" s="326">
        <v>600</v>
      </c>
      <c r="D237" s="326">
        <v>200</v>
      </c>
      <c r="E237" s="326">
        <v>20</v>
      </c>
      <c r="F237" s="178">
        <v>0</v>
      </c>
      <c r="G237" s="330" t="s">
        <v>2557</v>
      </c>
      <c r="H237" s="330" t="s">
        <v>808</v>
      </c>
      <c r="I237" s="326"/>
      <c r="J237" s="326"/>
      <c r="K237" s="334">
        <f t="shared" si="6"/>
        <v>0</v>
      </c>
      <c r="L237" s="334">
        <v>0</v>
      </c>
      <c r="M237" s="334"/>
      <c r="N237" s="334">
        <f t="shared" si="7"/>
        <v>0</v>
      </c>
      <c r="O237" s="334">
        <v>0</v>
      </c>
      <c r="P237" s="334"/>
    </row>
    <row r="238" spans="1:16">
      <c r="A238" s="177">
        <v>305</v>
      </c>
      <c r="B238" s="326">
        <v>100</v>
      </c>
      <c r="C238" s="326">
        <v>600</v>
      </c>
      <c r="D238" s="326">
        <v>200</v>
      </c>
      <c r="E238" s="326">
        <v>30</v>
      </c>
      <c r="F238" s="178">
        <v>0</v>
      </c>
      <c r="G238" s="330" t="s">
        <v>2558</v>
      </c>
      <c r="H238" s="330" t="s">
        <v>809</v>
      </c>
      <c r="I238" s="326"/>
      <c r="J238" s="326"/>
      <c r="K238" s="334">
        <f t="shared" si="6"/>
        <v>0</v>
      </c>
      <c r="L238" s="334">
        <v>0</v>
      </c>
      <c r="M238" s="334"/>
      <c r="N238" s="334">
        <f t="shared" si="7"/>
        <v>0</v>
      </c>
      <c r="O238" s="334">
        <v>0</v>
      </c>
      <c r="P238" s="334"/>
    </row>
    <row r="239" spans="1:16" ht="25.5">
      <c r="A239" s="177">
        <v>305</v>
      </c>
      <c r="B239" s="326">
        <v>100</v>
      </c>
      <c r="C239" s="326">
        <v>600</v>
      </c>
      <c r="D239" s="326">
        <v>200</v>
      </c>
      <c r="E239" s="326">
        <v>90</v>
      </c>
      <c r="F239" s="178">
        <v>0</v>
      </c>
      <c r="G239" s="330" t="s">
        <v>2559</v>
      </c>
      <c r="H239" s="330" t="s">
        <v>810</v>
      </c>
      <c r="I239" s="326"/>
      <c r="J239" s="326"/>
      <c r="K239" s="334">
        <f t="shared" si="6"/>
        <v>0</v>
      </c>
      <c r="L239" s="334">
        <v>0</v>
      </c>
      <c r="M239" s="334"/>
      <c r="N239" s="334">
        <f t="shared" si="7"/>
        <v>0</v>
      </c>
      <c r="O239" s="334">
        <v>0</v>
      </c>
      <c r="P239" s="334"/>
    </row>
    <row r="240" spans="1:16" ht="38.25">
      <c r="A240" s="177">
        <v>305</v>
      </c>
      <c r="B240" s="326">
        <v>100</v>
      </c>
      <c r="C240" s="326">
        <v>600</v>
      </c>
      <c r="D240" s="326">
        <v>250</v>
      </c>
      <c r="E240" s="326">
        <v>0</v>
      </c>
      <c r="F240" s="178">
        <v>0</v>
      </c>
      <c r="G240" s="330" t="s">
        <v>2560</v>
      </c>
      <c r="H240" s="330" t="s">
        <v>811</v>
      </c>
      <c r="I240" s="326" t="s">
        <v>812</v>
      </c>
      <c r="J240" s="326" t="s">
        <v>1574</v>
      </c>
      <c r="K240" s="334">
        <f t="shared" si="6"/>
        <v>270380</v>
      </c>
      <c r="L240" s="334">
        <v>270380</v>
      </c>
      <c r="M240" s="334"/>
      <c r="N240" s="334">
        <f t="shared" si="7"/>
        <v>0</v>
      </c>
      <c r="O240" s="334">
        <v>0</v>
      </c>
      <c r="P240" s="334"/>
    </row>
    <row r="241" spans="1:16" ht="25.5">
      <c r="A241" s="177">
        <v>305</v>
      </c>
      <c r="B241" s="326">
        <v>100</v>
      </c>
      <c r="C241" s="326">
        <v>600</v>
      </c>
      <c r="D241" s="326">
        <v>300</v>
      </c>
      <c r="E241" s="326">
        <v>0</v>
      </c>
      <c r="F241" s="326">
        <v>0</v>
      </c>
      <c r="G241" s="330" t="s">
        <v>2561</v>
      </c>
      <c r="H241" s="330" t="s">
        <v>813</v>
      </c>
      <c r="I241" s="326" t="s">
        <v>814</v>
      </c>
      <c r="J241" s="326" t="s">
        <v>1578</v>
      </c>
      <c r="K241" s="334">
        <f t="shared" si="6"/>
        <v>485182.56</v>
      </c>
      <c r="L241" s="334">
        <v>485182.56</v>
      </c>
      <c r="M241" s="334"/>
      <c r="N241" s="334">
        <f t="shared" si="7"/>
        <v>500178.71</v>
      </c>
      <c r="O241" s="334">
        <v>500178.71</v>
      </c>
      <c r="P241" s="334"/>
    </row>
    <row r="242" spans="1:16" ht="25.5">
      <c r="A242" s="177">
        <v>305</v>
      </c>
      <c r="B242" s="326">
        <v>100</v>
      </c>
      <c r="C242" s="326">
        <v>600</v>
      </c>
      <c r="D242" s="326">
        <v>310</v>
      </c>
      <c r="E242" s="326">
        <v>0</v>
      </c>
      <c r="F242" s="326">
        <v>0</v>
      </c>
      <c r="G242" s="330" t="s">
        <v>2458</v>
      </c>
      <c r="H242" s="330" t="s">
        <v>684</v>
      </c>
      <c r="I242" s="326" t="s">
        <v>814</v>
      </c>
      <c r="J242" s="326" t="s">
        <v>1574</v>
      </c>
      <c r="K242" s="334">
        <f t="shared" si="6"/>
        <v>0</v>
      </c>
      <c r="L242" s="334">
        <v>0</v>
      </c>
      <c r="M242" s="334"/>
      <c r="N242" s="334">
        <f t="shared" si="7"/>
        <v>0</v>
      </c>
      <c r="O242" s="334">
        <v>0</v>
      </c>
      <c r="P242" s="334"/>
    </row>
    <row r="243" spans="1:16" ht="25.5">
      <c r="A243" s="177">
        <v>305</v>
      </c>
      <c r="B243" s="326">
        <v>100</v>
      </c>
      <c r="C243" s="326">
        <v>600</v>
      </c>
      <c r="D243" s="326">
        <v>320</v>
      </c>
      <c r="E243" s="326">
        <v>0</v>
      </c>
      <c r="F243" s="326">
        <v>0</v>
      </c>
      <c r="G243" s="330" t="s">
        <v>2512</v>
      </c>
      <c r="H243" s="330" t="s">
        <v>752</v>
      </c>
      <c r="I243" s="326" t="s">
        <v>814</v>
      </c>
      <c r="J243" s="326" t="s">
        <v>1574</v>
      </c>
      <c r="K243" s="334">
        <f t="shared" si="6"/>
        <v>0</v>
      </c>
      <c r="L243" s="334">
        <v>0</v>
      </c>
      <c r="M243" s="334"/>
      <c r="N243" s="334">
        <f t="shared" si="7"/>
        <v>0</v>
      </c>
      <c r="O243" s="334">
        <v>0</v>
      </c>
      <c r="P243" s="334"/>
    </row>
    <row r="244" spans="1:16">
      <c r="A244" s="177">
        <v>305</v>
      </c>
      <c r="B244" s="326">
        <v>100</v>
      </c>
      <c r="C244" s="326">
        <v>600</v>
      </c>
      <c r="D244" s="326">
        <v>400</v>
      </c>
      <c r="E244" s="326">
        <v>0</v>
      </c>
      <c r="F244" s="326">
        <v>0</v>
      </c>
      <c r="G244" s="340" t="s">
        <v>2562</v>
      </c>
      <c r="H244" s="340" t="s">
        <v>719</v>
      </c>
      <c r="I244" s="326" t="s">
        <v>815</v>
      </c>
      <c r="J244" s="325"/>
      <c r="K244" s="335">
        <f t="shared" si="6"/>
        <v>0</v>
      </c>
      <c r="L244" s="335">
        <v>0</v>
      </c>
      <c r="M244" s="335"/>
      <c r="N244" s="335">
        <f t="shared" si="7"/>
        <v>0</v>
      </c>
      <c r="O244" s="335">
        <v>0</v>
      </c>
      <c r="P244" s="335"/>
    </row>
    <row r="245" spans="1:16">
      <c r="A245" s="177">
        <v>305</v>
      </c>
      <c r="B245" s="326">
        <v>100</v>
      </c>
      <c r="C245" s="326">
        <v>600</v>
      </c>
      <c r="D245" s="326">
        <v>400</v>
      </c>
      <c r="E245" s="326">
        <v>10</v>
      </c>
      <c r="F245" s="178">
        <v>0</v>
      </c>
      <c r="G245" s="330" t="s">
        <v>2563</v>
      </c>
      <c r="H245" s="330" t="s">
        <v>816</v>
      </c>
      <c r="I245" s="326"/>
      <c r="J245" s="326"/>
      <c r="K245" s="334">
        <f t="shared" si="6"/>
        <v>0</v>
      </c>
      <c r="L245" s="334">
        <v>0</v>
      </c>
      <c r="M245" s="334"/>
      <c r="N245" s="334">
        <f t="shared" si="7"/>
        <v>0</v>
      </c>
      <c r="O245" s="334">
        <v>0</v>
      </c>
      <c r="P245" s="334"/>
    </row>
    <row r="246" spans="1:16">
      <c r="A246" s="177">
        <v>305</v>
      </c>
      <c r="B246" s="326">
        <v>100</v>
      </c>
      <c r="C246" s="326">
        <v>600</v>
      </c>
      <c r="D246" s="326">
        <v>400</v>
      </c>
      <c r="E246" s="326">
        <v>20</v>
      </c>
      <c r="F246" s="178">
        <v>0</v>
      </c>
      <c r="G246" s="330" t="s">
        <v>2564</v>
      </c>
      <c r="H246" s="330" t="s">
        <v>817</v>
      </c>
      <c r="I246" s="326"/>
      <c r="J246" s="326"/>
      <c r="K246" s="334">
        <f t="shared" si="6"/>
        <v>0</v>
      </c>
      <c r="L246" s="334">
        <v>0</v>
      </c>
      <c r="M246" s="334"/>
      <c r="N246" s="334">
        <f t="shared" si="7"/>
        <v>0</v>
      </c>
      <c r="O246" s="334">
        <v>0</v>
      </c>
      <c r="P246" s="334"/>
    </row>
    <row r="247" spans="1:16">
      <c r="A247" s="177">
        <v>305</v>
      </c>
      <c r="B247" s="326">
        <v>100</v>
      </c>
      <c r="C247" s="326">
        <v>600</v>
      </c>
      <c r="D247" s="326">
        <v>400</v>
      </c>
      <c r="E247" s="326">
        <v>30</v>
      </c>
      <c r="F247" s="178">
        <v>0</v>
      </c>
      <c r="G247" s="330" t="s">
        <v>2565</v>
      </c>
      <c r="H247" s="330" t="s">
        <v>807</v>
      </c>
      <c r="I247" s="326"/>
      <c r="J247" s="326"/>
      <c r="K247" s="334">
        <f t="shared" si="6"/>
        <v>0</v>
      </c>
      <c r="L247" s="334">
        <v>0</v>
      </c>
      <c r="M247" s="334"/>
      <c r="N247" s="334">
        <f t="shared" si="7"/>
        <v>0</v>
      </c>
      <c r="O247" s="334">
        <v>0</v>
      </c>
      <c r="P247" s="334"/>
    </row>
    <row r="248" spans="1:16" ht="25.5">
      <c r="A248" s="177">
        <v>305</v>
      </c>
      <c r="B248" s="326">
        <v>100</v>
      </c>
      <c r="C248" s="326">
        <v>600</v>
      </c>
      <c r="D248" s="326">
        <v>400</v>
      </c>
      <c r="E248" s="326">
        <v>40</v>
      </c>
      <c r="F248" s="178">
        <v>0</v>
      </c>
      <c r="G248" s="330" t="s">
        <v>2566</v>
      </c>
      <c r="H248" s="330" t="s">
        <v>808</v>
      </c>
      <c r="I248" s="326"/>
      <c r="J248" s="326"/>
      <c r="K248" s="334">
        <f t="shared" si="6"/>
        <v>0</v>
      </c>
      <c r="L248" s="334">
        <v>0</v>
      </c>
      <c r="M248" s="334"/>
      <c r="N248" s="334">
        <f t="shared" si="7"/>
        <v>0</v>
      </c>
      <c r="O248" s="334">
        <v>0</v>
      </c>
      <c r="P248" s="334"/>
    </row>
    <row r="249" spans="1:16">
      <c r="A249" s="177">
        <v>305</v>
      </c>
      <c r="B249" s="326">
        <v>100</v>
      </c>
      <c r="C249" s="326">
        <v>600</v>
      </c>
      <c r="D249" s="326">
        <v>400</v>
      </c>
      <c r="E249" s="326">
        <v>50</v>
      </c>
      <c r="F249" s="178">
        <v>0</v>
      </c>
      <c r="G249" s="330" t="s">
        <v>2567</v>
      </c>
      <c r="H249" s="330" t="s">
        <v>809</v>
      </c>
      <c r="I249" s="326"/>
      <c r="J249" s="326"/>
      <c r="K249" s="334">
        <f t="shared" si="6"/>
        <v>0</v>
      </c>
      <c r="L249" s="334">
        <v>0</v>
      </c>
      <c r="M249" s="334"/>
      <c r="N249" s="334">
        <f t="shared" si="7"/>
        <v>0</v>
      </c>
      <c r="O249" s="334">
        <v>0</v>
      </c>
      <c r="P249" s="334"/>
    </row>
    <row r="250" spans="1:16" ht="25.5">
      <c r="A250" s="177">
        <v>305</v>
      </c>
      <c r="B250" s="326">
        <v>100</v>
      </c>
      <c r="C250" s="326">
        <v>600</v>
      </c>
      <c r="D250" s="326">
        <v>400</v>
      </c>
      <c r="E250" s="326">
        <v>60</v>
      </c>
      <c r="F250" s="178">
        <v>0</v>
      </c>
      <c r="G250" s="330" t="s">
        <v>2568</v>
      </c>
      <c r="H250" s="330" t="s">
        <v>818</v>
      </c>
      <c r="I250" s="326"/>
      <c r="J250" s="326"/>
      <c r="K250" s="334">
        <f t="shared" si="6"/>
        <v>0</v>
      </c>
      <c r="L250" s="334">
        <v>0</v>
      </c>
      <c r="M250" s="334"/>
      <c r="N250" s="334">
        <f t="shared" si="7"/>
        <v>0</v>
      </c>
      <c r="O250" s="334">
        <v>0</v>
      </c>
      <c r="P250" s="334"/>
    </row>
    <row r="251" spans="1:16">
      <c r="A251" s="177">
        <v>305</v>
      </c>
      <c r="B251" s="326">
        <v>100</v>
      </c>
      <c r="C251" s="326">
        <v>600</v>
      </c>
      <c r="D251" s="326">
        <v>400</v>
      </c>
      <c r="E251" s="326">
        <v>70</v>
      </c>
      <c r="F251" s="178">
        <v>0</v>
      </c>
      <c r="G251" s="330" t="s">
        <v>2569</v>
      </c>
      <c r="H251" s="330" t="s">
        <v>819</v>
      </c>
      <c r="I251" s="326"/>
      <c r="J251" s="326"/>
      <c r="K251" s="334">
        <f t="shared" si="6"/>
        <v>0</v>
      </c>
      <c r="L251" s="334">
        <v>0</v>
      </c>
      <c r="M251" s="334"/>
      <c r="N251" s="334">
        <f t="shared" si="7"/>
        <v>0</v>
      </c>
      <c r="O251" s="334">
        <v>0</v>
      </c>
      <c r="P251" s="334"/>
    </row>
    <row r="252" spans="1:16">
      <c r="A252" s="177">
        <v>305</v>
      </c>
      <c r="B252" s="326">
        <v>100</v>
      </c>
      <c r="C252" s="326">
        <v>600</v>
      </c>
      <c r="D252" s="326">
        <v>400</v>
      </c>
      <c r="E252" s="326">
        <v>90</v>
      </c>
      <c r="F252" s="178">
        <v>0</v>
      </c>
      <c r="G252" s="330" t="s">
        <v>2570</v>
      </c>
      <c r="H252" s="330" t="s">
        <v>820</v>
      </c>
      <c r="I252" s="326"/>
      <c r="J252" s="326"/>
      <c r="K252" s="334">
        <f t="shared" si="6"/>
        <v>0</v>
      </c>
      <c r="L252" s="334">
        <v>0</v>
      </c>
      <c r="M252" s="334"/>
      <c r="N252" s="334">
        <f t="shared" si="7"/>
        <v>0</v>
      </c>
      <c r="O252" s="334">
        <v>0</v>
      </c>
      <c r="P252" s="334"/>
    </row>
    <row r="253" spans="1:16">
      <c r="A253" s="177">
        <v>305</v>
      </c>
      <c r="B253" s="326">
        <v>100</v>
      </c>
      <c r="C253" s="326">
        <v>600</v>
      </c>
      <c r="D253" s="326">
        <v>500</v>
      </c>
      <c r="E253" s="326">
        <v>0</v>
      </c>
      <c r="F253" s="326">
        <v>0</v>
      </c>
      <c r="G253" s="340" t="s">
        <v>2571</v>
      </c>
      <c r="H253" s="340" t="s">
        <v>723</v>
      </c>
      <c r="I253" s="326" t="s">
        <v>821</v>
      </c>
      <c r="J253" s="325"/>
      <c r="K253" s="335">
        <f t="shared" si="6"/>
        <v>0</v>
      </c>
      <c r="L253" s="335">
        <v>0</v>
      </c>
      <c r="M253" s="335"/>
      <c r="N253" s="335">
        <f t="shared" si="7"/>
        <v>0</v>
      </c>
      <c r="O253" s="335">
        <v>0</v>
      </c>
      <c r="P253" s="335"/>
    </row>
    <row r="254" spans="1:16" ht="25.5">
      <c r="A254" s="177">
        <v>305</v>
      </c>
      <c r="B254" s="326">
        <v>100</v>
      </c>
      <c r="C254" s="326">
        <v>600</v>
      </c>
      <c r="D254" s="326">
        <v>500</v>
      </c>
      <c r="E254" s="326">
        <v>10</v>
      </c>
      <c r="F254" s="178">
        <v>0</v>
      </c>
      <c r="G254" s="330" t="s">
        <v>2572</v>
      </c>
      <c r="H254" s="330" t="s">
        <v>818</v>
      </c>
      <c r="I254" s="326"/>
      <c r="J254" s="326"/>
      <c r="K254" s="334">
        <f t="shared" si="6"/>
        <v>0</v>
      </c>
      <c r="L254" s="334">
        <v>0</v>
      </c>
      <c r="M254" s="334"/>
      <c r="N254" s="334">
        <f t="shared" si="7"/>
        <v>0</v>
      </c>
      <c r="O254" s="334">
        <v>0</v>
      </c>
      <c r="P254" s="334"/>
    </row>
    <row r="255" spans="1:16">
      <c r="A255" s="177">
        <v>305</v>
      </c>
      <c r="B255" s="326">
        <v>100</v>
      </c>
      <c r="C255" s="326">
        <v>600</v>
      </c>
      <c r="D255" s="326">
        <v>500</v>
      </c>
      <c r="E255" s="326">
        <v>90</v>
      </c>
      <c r="F255" s="178">
        <v>0</v>
      </c>
      <c r="G255" s="330" t="s">
        <v>2573</v>
      </c>
      <c r="H255" s="330" t="s">
        <v>822</v>
      </c>
      <c r="I255" s="326"/>
      <c r="J255" s="326"/>
      <c r="K255" s="334">
        <f t="shared" si="6"/>
        <v>0</v>
      </c>
      <c r="L255" s="334">
        <v>0</v>
      </c>
      <c r="M255" s="334"/>
      <c r="N255" s="334">
        <f t="shared" si="7"/>
        <v>0</v>
      </c>
      <c r="O255" s="334">
        <v>0</v>
      </c>
      <c r="P255" s="334"/>
    </row>
    <row r="256" spans="1:16" ht="25.5">
      <c r="A256" s="177">
        <v>305</v>
      </c>
      <c r="B256" s="326">
        <v>100</v>
      </c>
      <c r="C256" s="326">
        <v>650</v>
      </c>
      <c r="D256" s="326">
        <v>0</v>
      </c>
      <c r="E256" s="326">
        <v>0</v>
      </c>
      <c r="F256" s="326">
        <v>0</v>
      </c>
      <c r="G256" s="331" t="s">
        <v>2574</v>
      </c>
      <c r="H256" s="331" t="s">
        <v>823</v>
      </c>
      <c r="I256" s="326" t="s">
        <v>824</v>
      </c>
      <c r="J256" s="325"/>
      <c r="K256" s="335">
        <f t="shared" si="6"/>
        <v>0</v>
      </c>
      <c r="L256" s="335">
        <v>0</v>
      </c>
      <c r="M256" s="335"/>
      <c r="N256" s="335">
        <f t="shared" si="7"/>
        <v>0</v>
      </c>
      <c r="O256" s="335">
        <v>0</v>
      </c>
      <c r="P256" s="335"/>
    </row>
    <row r="257" spans="1:16" ht="25.5">
      <c r="A257" s="177">
        <v>305</v>
      </c>
      <c r="B257" s="326">
        <v>100</v>
      </c>
      <c r="C257" s="326">
        <v>650</v>
      </c>
      <c r="D257" s="326">
        <v>100</v>
      </c>
      <c r="E257" s="326">
        <v>0</v>
      </c>
      <c r="F257" s="326">
        <v>0</v>
      </c>
      <c r="G257" s="330" t="s">
        <v>2575</v>
      </c>
      <c r="H257" s="330" t="s">
        <v>825</v>
      </c>
      <c r="I257" s="326" t="s">
        <v>826</v>
      </c>
      <c r="J257" s="326"/>
      <c r="K257" s="334">
        <f t="shared" si="6"/>
        <v>69300</v>
      </c>
      <c r="L257" s="334">
        <v>69300</v>
      </c>
      <c r="M257" s="334"/>
      <c r="N257" s="334">
        <f t="shared" si="7"/>
        <v>28300</v>
      </c>
      <c r="O257" s="334">
        <v>28300</v>
      </c>
      <c r="P257" s="334"/>
    </row>
    <row r="258" spans="1:16" ht="25.5">
      <c r="A258" s="177">
        <v>305</v>
      </c>
      <c r="B258" s="326">
        <v>100</v>
      </c>
      <c r="C258" s="326">
        <v>650</v>
      </c>
      <c r="D258" s="326">
        <v>200</v>
      </c>
      <c r="E258" s="326">
        <v>0</v>
      </c>
      <c r="F258" s="326">
        <v>0</v>
      </c>
      <c r="G258" s="330" t="s">
        <v>2576</v>
      </c>
      <c r="H258" s="330" t="s">
        <v>827</v>
      </c>
      <c r="I258" s="326" t="s">
        <v>828</v>
      </c>
      <c r="J258" s="326"/>
      <c r="K258" s="334">
        <f t="shared" si="6"/>
        <v>662451.44999999995</v>
      </c>
      <c r="L258" s="334">
        <v>662451.44999999995</v>
      </c>
      <c r="M258" s="334"/>
      <c r="N258" s="334">
        <f t="shared" si="7"/>
        <v>633854.23</v>
      </c>
      <c r="O258" s="334">
        <v>633854.23</v>
      </c>
      <c r="P258" s="334"/>
    </row>
    <row r="259" spans="1:16" ht="25.5">
      <c r="A259" s="177">
        <v>305</v>
      </c>
      <c r="B259" s="326">
        <v>100</v>
      </c>
      <c r="C259" s="326">
        <v>650</v>
      </c>
      <c r="D259" s="326">
        <v>300</v>
      </c>
      <c r="E259" s="326">
        <v>0</v>
      </c>
      <c r="F259" s="326">
        <v>0</v>
      </c>
      <c r="G259" s="330" t="s">
        <v>2577</v>
      </c>
      <c r="H259" s="330" t="s">
        <v>829</v>
      </c>
      <c r="I259" s="326" t="s">
        <v>830</v>
      </c>
      <c r="J259" s="326"/>
      <c r="K259" s="334">
        <f t="shared" si="6"/>
        <v>0</v>
      </c>
      <c r="L259" s="334">
        <v>0</v>
      </c>
      <c r="M259" s="334"/>
      <c r="N259" s="334">
        <f t="shared" si="7"/>
        <v>0</v>
      </c>
      <c r="O259" s="334">
        <v>0</v>
      </c>
      <c r="P259" s="334"/>
    </row>
    <row r="260" spans="1:16" ht="38.25">
      <c r="A260" s="177">
        <v>305</v>
      </c>
      <c r="B260" s="326">
        <v>100</v>
      </c>
      <c r="C260" s="326">
        <v>650</v>
      </c>
      <c r="D260" s="326">
        <v>400</v>
      </c>
      <c r="E260" s="326">
        <v>0</v>
      </c>
      <c r="F260" s="326">
        <v>0</v>
      </c>
      <c r="G260" s="331" t="s">
        <v>2578</v>
      </c>
      <c r="H260" s="331" t="s">
        <v>831</v>
      </c>
      <c r="I260" s="326" t="s">
        <v>832</v>
      </c>
      <c r="J260" s="325"/>
      <c r="K260" s="335">
        <f t="shared" si="6"/>
        <v>0</v>
      </c>
      <c r="L260" s="335">
        <v>0</v>
      </c>
      <c r="M260" s="335"/>
      <c r="N260" s="335">
        <f t="shared" si="7"/>
        <v>0</v>
      </c>
      <c r="O260" s="335">
        <v>0</v>
      </c>
      <c r="P260" s="335"/>
    </row>
    <row r="261" spans="1:16" ht="25.5">
      <c r="A261" s="177">
        <v>305</v>
      </c>
      <c r="B261" s="326">
        <v>100</v>
      </c>
      <c r="C261" s="326">
        <v>650</v>
      </c>
      <c r="D261" s="326">
        <v>400</v>
      </c>
      <c r="E261" s="326">
        <v>10</v>
      </c>
      <c r="F261" s="178">
        <v>0</v>
      </c>
      <c r="G261" s="330" t="s">
        <v>2579</v>
      </c>
      <c r="H261" s="330" t="s">
        <v>833</v>
      </c>
      <c r="I261" s="326"/>
      <c r="J261" s="326"/>
      <c r="K261" s="334">
        <f t="shared" si="6"/>
        <v>203070.73</v>
      </c>
      <c r="L261" s="334">
        <v>203070.73</v>
      </c>
      <c r="M261" s="334"/>
      <c r="N261" s="334">
        <f t="shared" si="7"/>
        <v>232988.95</v>
      </c>
      <c r="O261" s="334">
        <v>232988.95</v>
      </c>
      <c r="P261" s="334"/>
    </row>
    <row r="262" spans="1:16" ht="25.5">
      <c r="A262" s="177">
        <v>305</v>
      </c>
      <c r="B262" s="326">
        <v>100</v>
      </c>
      <c r="C262" s="326">
        <v>650</v>
      </c>
      <c r="D262" s="326">
        <v>400</v>
      </c>
      <c r="E262" s="326">
        <v>20</v>
      </c>
      <c r="F262" s="178">
        <v>0</v>
      </c>
      <c r="G262" s="330" t="s">
        <v>2580</v>
      </c>
      <c r="H262" s="330" t="s">
        <v>834</v>
      </c>
      <c r="I262" s="326"/>
      <c r="J262" s="326"/>
      <c r="K262" s="334">
        <f t="shared" si="6"/>
        <v>0</v>
      </c>
      <c r="L262" s="334">
        <v>0</v>
      </c>
      <c r="M262" s="334"/>
      <c r="N262" s="334">
        <f t="shared" si="7"/>
        <v>0</v>
      </c>
      <c r="O262" s="334">
        <v>0</v>
      </c>
      <c r="P262" s="334"/>
    </row>
    <row r="263" spans="1:16" ht="25.5">
      <c r="A263" s="177">
        <v>305</v>
      </c>
      <c r="B263" s="326">
        <v>100</v>
      </c>
      <c r="C263" s="326">
        <v>650</v>
      </c>
      <c r="D263" s="326">
        <v>400</v>
      </c>
      <c r="E263" s="326">
        <v>30</v>
      </c>
      <c r="F263" s="178">
        <v>0</v>
      </c>
      <c r="G263" s="330" t="s">
        <v>2581</v>
      </c>
      <c r="H263" s="330" t="s">
        <v>835</v>
      </c>
      <c r="I263" s="326"/>
      <c r="J263" s="326"/>
      <c r="K263" s="334">
        <f t="shared" ref="K263:K326" si="8">+L263+M263</f>
        <v>0</v>
      </c>
      <c r="L263" s="334">
        <v>0</v>
      </c>
      <c r="M263" s="334"/>
      <c r="N263" s="334">
        <f t="shared" ref="N263:N326" si="9">+O263+P263</f>
        <v>0</v>
      </c>
      <c r="O263" s="334">
        <v>0</v>
      </c>
      <c r="P263" s="334"/>
    </row>
    <row r="264" spans="1:16" ht="25.5">
      <c r="A264" s="177">
        <v>305</v>
      </c>
      <c r="B264" s="326">
        <v>100</v>
      </c>
      <c r="C264" s="326">
        <v>650</v>
      </c>
      <c r="D264" s="326">
        <v>400</v>
      </c>
      <c r="E264" s="326">
        <v>90</v>
      </c>
      <c r="F264" s="178">
        <v>0</v>
      </c>
      <c r="G264" s="330" t="s">
        <v>2582</v>
      </c>
      <c r="H264" s="330" t="s">
        <v>836</v>
      </c>
      <c r="I264" s="326"/>
      <c r="J264" s="326"/>
      <c r="K264" s="334">
        <f t="shared" si="8"/>
        <v>0</v>
      </c>
      <c r="L264" s="334">
        <v>0</v>
      </c>
      <c r="M264" s="334"/>
      <c r="N264" s="334">
        <f t="shared" si="9"/>
        <v>0</v>
      </c>
      <c r="O264" s="334">
        <v>0</v>
      </c>
      <c r="P264" s="334"/>
    </row>
    <row r="265" spans="1:16" ht="38.25">
      <c r="A265" s="177">
        <v>305</v>
      </c>
      <c r="B265" s="326">
        <v>100</v>
      </c>
      <c r="C265" s="326">
        <v>650</v>
      </c>
      <c r="D265" s="326">
        <v>500</v>
      </c>
      <c r="E265" s="326">
        <v>0</v>
      </c>
      <c r="F265" s="326">
        <v>0</v>
      </c>
      <c r="G265" s="331" t="s">
        <v>2583</v>
      </c>
      <c r="H265" s="331" t="s">
        <v>837</v>
      </c>
      <c r="I265" s="326" t="s">
        <v>838</v>
      </c>
      <c r="J265" s="325" t="s">
        <v>1529</v>
      </c>
      <c r="K265" s="335">
        <f t="shared" si="8"/>
        <v>0</v>
      </c>
      <c r="L265" s="335">
        <v>0</v>
      </c>
      <c r="M265" s="335"/>
      <c r="N265" s="335">
        <f t="shared" si="9"/>
        <v>0</v>
      </c>
      <c r="O265" s="335">
        <v>0</v>
      </c>
      <c r="P265" s="335"/>
    </row>
    <row r="266" spans="1:16" ht="25.5">
      <c r="A266" s="177">
        <v>305</v>
      </c>
      <c r="B266" s="326">
        <v>100</v>
      </c>
      <c r="C266" s="326">
        <v>650</v>
      </c>
      <c r="D266" s="326">
        <v>500</v>
      </c>
      <c r="E266" s="326">
        <v>10</v>
      </c>
      <c r="F266" s="326">
        <v>0</v>
      </c>
      <c r="G266" s="330" t="s">
        <v>2584</v>
      </c>
      <c r="H266" s="330" t="s">
        <v>833</v>
      </c>
      <c r="I266" s="332"/>
      <c r="J266" s="332" t="s">
        <v>1529</v>
      </c>
      <c r="K266" s="334">
        <f t="shared" si="8"/>
        <v>0</v>
      </c>
      <c r="L266" s="334">
        <v>0</v>
      </c>
      <c r="M266" s="334"/>
      <c r="N266" s="334">
        <f t="shared" si="9"/>
        <v>0</v>
      </c>
      <c r="O266" s="334">
        <v>0</v>
      </c>
      <c r="P266" s="334"/>
    </row>
    <row r="267" spans="1:16" ht="25.5">
      <c r="A267" s="177">
        <v>305</v>
      </c>
      <c r="B267" s="326">
        <v>100</v>
      </c>
      <c r="C267" s="326">
        <v>650</v>
      </c>
      <c r="D267" s="326">
        <v>500</v>
      </c>
      <c r="E267" s="326">
        <v>20</v>
      </c>
      <c r="F267" s="326">
        <v>0</v>
      </c>
      <c r="G267" s="330" t="s">
        <v>2585</v>
      </c>
      <c r="H267" s="330" t="s">
        <v>834</v>
      </c>
      <c r="I267" s="332"/>
      <c r="J267" s="332" t="s">
        <v>1529</v>
      </c>
      <c r="K267" s="334">
        <f t="shared" si="8"/>
        <v>0</v>
      </c>
      <c r="L267" s="334">
        <v>0</v>
      </c>
      <c r="M267" s="334"/>
      <c r="N267" s="334">
        <f t="shared" si="9"/>
        <v>0</v>
      </c>
      <c r="O267" s="334">
        <v>0</v>
      </c>
      <c r="P267" s="334"/>
    </row>
    <row r="268" spans="1:16" ht="25.5">
      <c r="A268" s="177">
        <v>305</v>
      </c>
      <c r="B268" s="326">
        <v>100</v>
      </c>
      <c r="C268" s="326">
        <v>650</v>
      </c>
      <c r="D268" s="326">
        <v>500</v>
      </c>
      <c r="E268" s="326">
        <v>30</v>
      </c>
      <c r="F268" s="326">
        <v>0</v>
      </c>
      <c r="G268" s="330" t="s">
        <v>2586</v>
      </c>
      <c r="H268" s="330" t="s">
        <v>835</v>
      </c>
      <c r="I268" s="332"/>
      <c r="J268" s="332" t="s">
        <v>1529</v>
      </c>
      <c r="K268" s="334">
        <f t="shared" si="8"/>
        <v>0</v>
      </c>
      <c r="L268" s="334">
        <v>0</v>
      </c>
      <c r="M268" s="334"/>
      <c r="N268" s="334">
        <f t="shared" si="9"/>
        <v>0</v>
      </c>
      <c r="O268" s="334">
        <v>0</v>
      </c>
      <c r="P268" s="334"/>
    </row>
    <row r="269" spans="1:16" ht="25.5">
      <c r="A269" s="177">
        <v>305</v>
      </c>
      <c r="B269" s="326">
        <v>100</v>
      </c>
      <c r="C269" s="326">
        <v>650</v>
      </c>
      <c r="D269" s="326">
        <v>500</v>
      </c>
      <c r="E269" s="326">
        <v>90</v>
      </c>
      <c r="F269" s="326">
        <v>0</v>
      </c>
      <c r="G269" s="330" t="s">
        <v>2587</v>
      </c>
      <c r="H269" s="330" t="s">
        <v>836</v>
      </c>
      <c r="I269" s="332"/>
      <c r="J269" s="332" t="s">
        <v>1529</v>
      </c>
      <c r="K269" s="334">
        <f t="shared" si="8"/>
        <v>0</v>
      </c>
      <c r="L269" s="334">
        <v>0</v>
      </c>
      <c r="M269" s="334"/>
      <c r="N269" s="334">
        <f t="shared" si="9"/>
        <v>0</v>
      </c>
      <c r="O269" s="334">
        <v>0</v>
      </c>
      <c r="P269" s="334"/>
    </row>
    <row r="270" spans="1:16" ht="25.5">
      <c r="A270" s="177">
        <v>305</v>
      </c>
      <c r="B270" s="326">
        <v>100</v>
      </c>
      <c r="C270" s="326">
        <v>650</v>
      </c>
      <c r="D270" s="326">
        <v>600</v>
      </c>
      <c r="E270" s="326">
        <v>0</v>
      </c>
      <c r="F270" s="326">
        <v>0</v>
      </c>
      <c r="G270" s="331" t="s">
        <v>2588</v>
      </c>
      <c r="H270" s="331" t="s">
        <v>839</v>
      </c>
      <c r="I270" s="326" t="s">
        <v>840</v>
      </c>
      <c r="J270" s="325"/>
      <c r="K270" s="335">
        <f t="shared" si="8"/>
        <v>0</v>
      </c>
      <c r="L270" s="335">
        <v>0</v>
      </c>
      <c r="M270" s="335"/>
      <c r="N270" s="335">
        <f t="shared" si="9"/>
        <v>0</v>
      </c>
      <c r="O270" s="335">
        <v>0</v>
      </c>
      <c r="P270" s="335"/>
    </row>
    <row r="271" spans="1:16" ht="25.5">
      <c r="A271" s="177">
        <v>305</v>
      </c>
      <c r="B271" s="326">
        <v>100</v>
      </c>
      <c r="C271" s="326">
        <v>650</v>
      </c>
      <c r="D271" s="326">
        <v>600</v>
      </c>
      <c r="E271" s="326">
        <v>5</v>
      </c>
      <c r="F271" s="178">
        <v>0</v>
      </c>
      <c r="G271" s="330" t="s">
        <v>2589</v>
      </c>
      <c r="H271" s="330" t="s">
        <v>841</v>
      </c>
      <c r="I271" s="326"/>
      <c r="J271" s="326"/>
      <c r="K271" s="334">
        <f t="shared" si="8"/>
        <v>0</v>
      </c>
      <c r="L271" s="334">
        <v>0</v>
      </c>
      <c r="M271" s="334"/>
      <c r="N271" s="334">
        <f t="shared" si="9"/>
        <v>0</v>
      </c>
      <c r="O271" s="334">
        <v>0</v>
      </c>
      <c r="P271" s="334"/>
    </row>
    <row r="272" spans="1:16" ht="25.5">
      <c r="A272" s="177">
        <v>305</v>
      </c>
      <c r="B272" s="326">
        <v>100</v>
      </c>
      <c r="C272" s="326">
        <v>650</v>
      </c>
      <c r="D272" s="326">
        <v>600</v>
      </c>
      <c r="E272" s="326">
        <v>10</v>
      </c>
      <c r="F272" s="178">
        <v>0</v>
      </c>
      <c r="G272" s="330" t="s">
        <v>2590</v>
      </c>
      <c r="H272" s="330" t="s">
        <v>842</v>
      </c>
      <c r="I272" s="326"/>
      <c r="J272" s="326"/>
      <c r="K272" s="334">
        <f t="shared" si="8"/>
        <v>0</v>
      </c>
      <c r="L272" s="334">
        <v>0</v>
      </c>
      <c r="M272" s="334"/>
      <c r="N272" s="334">
        <f t="shared" si="9"/>
        <v>0</v>
      </c>
      <c r="O272" s="334">
        <v>0</v>
      </c>
      <c r="P272" s="334"/>
    </row>
    <row r="273" spans="1:16" ht="25.5">
      <c r="A273" s="177">
        <v>305</v>
      </c>
      <c r="B273" s="326">
        <v>100</v>
      </c>
      <c r="C273" s="326">
        <v>650</v>
      </c>
      <c r="D273" s="326">
        <v>600</v>
      </c>
      <c r="E273" s="326">
        <v>15</v>
      </c>
      <c r="F273" s="178">
        <v>0</v>
      </c>
      <c r="G273" s="330" t="s">
        <v>2591</v>
      </c>
      <c r="H273" s="330" t="s">
        <v>843</v>
      </c>
      <c r="I273" s="326"/>
      <c r="J273" s="326"/>
      <c r="K273" s="334">
        <f t="shared" si="8"/>
        <v>0</v>
      </c>
      <c r="L273" s="334">
        <v>0</v>
      </c>
      <c r="M273" s="334"/>
      <c r="N273" s="334">
        <f t="shared" si="9"/>
        <v>0</v>
      </c>
      <c r="O273" s="334">
        <v>0</v>
      </c>
      <c r="P273" s="334"/>
    </row>
    <row r="274" spans="1:16" ht="25.5">
      <c r="A274" s="177">
        <v>305</v>
      </c>
      <c r="B274" s="326">
        <v>100</v>
      </c>
      <c r="C274" s="326">
        <v>650</v>
      </c>
      <c r="D274" s="326">
        <v>600</v>
      </c>
      <c r="E274" s="326">
        <v>20</v>
      </c>
      <c r="F274" s="178">
        <v>0</v>
      </c>
      <c r="G274" s="330" t="s">
        <v>2592</v>
      </c>
      <c r="H274" s="330" t="s">
        <v>844</v>
      </c>
      <c r="I274" s="326"/>
      <c r="J274" s="326"/>
      <c r="K274" s="334">
        <f t="shared" si="8"/>
        <v>0</v>
      </c>
      <c r="L274" s="334">
        <v>0</v>
      </c>
      <c r="M274" s="334"/>
      <c r="N274" s="334">
        <f t="shared" si="9"/>
        <v>2364</v>
      </c>
      <c r="O274" s="334">
        <v>2364</v>
      </c>
      <c r="P274" s="334"/>
    </row>
    <row r="275" spans="1:16" ht="25.5">
      <c r="A275" s="177">
        <v>305</v>
      </c>
      <c r="B275" s="326">
        <v>100</v>
      </c>
      <c r="C275" s="326">
        <v>650</v>
      </c>
      <c r="D275" s="326">
        <v>600</v>
      </c>
      <c r="E275" s="326">
        <v>25</v>
      </c>
      <c r="F275" s="178">
        <v>0</v>
      </c>
      <c r="G275" s="330" t="s">
        <v>2593</v>
      </c>
      <c r="H275" s="330" t="s">
        <v>845</v>
      </c>
      <c r="I275" s="326"/>
      <c r="J275" s="326"/>
      <c r="K275" s="334">
        <f t="shared" si="8"/>
        <v>0</v>
      </c>
      <c r="L275" s="334">
        <v>0</v>
      </c>
      <c r="M275" s="334"/>
      <c r="N275" s="334">
        <f t="shared" si="9"/>
        <v>0</v>
      </c>
      <c r="O275" s="334">
        <v>0</v>
      </c>
      <c r="P275" s="334"/>
    </row>
    <row r="276" spans="1:16" ht="25.5">
      <c r="A276" s="177">
        <v>305</v>
      </c>
      <c r="B276" s="326">
        <v>100</v>
      </c>
      <c r="C276" s="326">
        <v>650</v>
      </c>
      <c r="D276" s="326">
        <v>600</v>
      </c>
      <c r="E276" s="326">
        <v>30</v>
      </c>
      <c r="F276" s="178">
        <v>0</v>
      </c>
      <c r="G276" s="330" t="s">
        <v>2594</v>
      </c>
      <c r="H276" s="330" t="s">
        <v>846</v>
      </c>
      <c r="I276" s="326"/>
      <c r="J276" s="326"/>
      <c r="K276" s="334">
        <f t="shared" si="8"/>
        <v>0</v>
      </c>
      <c r="L276" s="334">
        <v>0</v>
      </c>
      <c r="M276" s="334"/>
      <c r="N276" s="334">
        <f t="shared" si="9"/>
        <v>0</v>
      </c>
      <c r="O276" s="334">
        <v>0</v>
      </c>
      <c r="P276" s="334"/>
    </row>
    <row r="277" spans="1:16" ht="25.5">
      <c r="A277" s="177">
        <v>305</v>
      </c>
      <c r="B277" s="326">
        <v>100</v>
      </c>
      <c r="C277" s="326">
        <v>650</v>
      </c>
      <c r="D277" s="326">
        <v>600</v>
      </c>
      <c r="E277" s="326">
        <v>35</v>
      </c>
      <c r="F277" s="178">
        <v>0</v>
      </c>
      <c r="G277" s="330" t="s">
        <v>2595</v>
      </c>
      <c r="H277" s="330" t="s">
        <v>847</v>
      </c>
      <c r="I277" s="326"/>
      <c r="J277" s="326"/>
      <c r="K277" s="334">
        <f t="shared" si="8"/>
        <v>0</v>
      </c>
      <c r="L277" s="334">
        <v>0</v>
      </c>
      <c r="M277" s="334"/>
      <c r="N277" s="334">
        <f t="shared" si="9"/>
        <v>0</v>
      </c>
      <c r="O277" s="334">
        <v>0</v>
      </c>
      <c r="P277" s="334"/>
    </row>
    <row r="278" spans="1:16">
      <c r="A278" s="177">
        <v>305</v>
      </c>
      <c r="B278" s="326">
        <v>100</v>
      </c>
      <c r="C278" s="326">
        <v>650</v>
      </c>
      <c r="D278" s="326">
        <v>600</v>
      </c>
      <c r="E278" s="326">
        <v>40</v>
      </c>
      <c r="F278" s="178">
        <v>0</v>
      </c>
      <c r="G278" s="330" t="s">
        <v>2596</v>
      </c>
      <c r="H278" s="330" t="s">
        <v>848</v>
      </c>
      <c r="I278" s="326"/>
      <c r="J278" s="326"/>
      <c r="K278" s="334">
        <f t="shared" si="8"/>
        <v>30309.96</v>
      </c>
      <c r="L278" s="334">
        <v>30309.96</v>
      </c>
      <c r="M278" s="334"/>
      <c r="N278" s="334">
        <f t="shared" si="9"/>
        <v>22323.24</v>
      </c>
      <c r="O278" s="334">
        <v>22323.24</v>
      </c>
      <c r="P278" s="334"/>
    </row>
    <row r="279" spans="1:16">
      <c r="A279" s="177">
        <v>305</v>
      </c>
      <c r="B279" s="326">
        <v>100</v>
      </c>
      <c r="C279" s="326">
        <v>650</v>
      </c>
      <c r="D279" s="326">
        <v>600</v>
      </c>
      <c r="E279" s="326">
        <v>45</v>
      </c>
      <c r="F279" s="178">
        <v>0</v>
      </c>
      <c r="G279" s="330" t="s">
        <v>2597</v>
      </c>
      <c r="H279" s="330" t="s">
        <v>849</v>
      </c>
      <c r="I279" s="326"/>
      <c r="J279" s="326"/>
      <c r="K279" s="334">
        <f t="shared" si="8"/>
        <v>46748.61</v>
      </c>
      <c r="L279" s="334">
        <v>46748.61</v>
      </c>
      <c r="M279" s="334"/>
      <c r="N279" s="334">
        <f t="shared" si="9"/>
        <v>44842.03</v>
      </c>
      <c r="O279" s="334">
        <v>44842.03</v>
      </c>
      <c r="P279" s="334"/>
    </row>
    <row r="280" spans="1:16" ht="25.5">
      <c r="A280" s="177">
        <v>305</v>
      </c>
      <c r="B280" s="326">
        <v>100</v>
      </c>
      <c r="C280" s="326">
        <v>650</v>
      </c>
      <c r="D280" s="326">
        <v>600</v>
      </c>
      <c r="E280" s="326">
        <v>50</v>
      </c>
      <c r="F280" s="178">
        <v>0</v>
      </c>
      <c r="G280" s="330" t="s">
        <v>2598</v>
      </c>
      <c r="H280" s="330" t="s">
        <v>839</v>
      </c>
      <c r="I280" s="326"/>
      <c r="J280" s="326"/>
      <c r="K280" s="334">
        <f t="shared" si="8"/>
        <v>0</v>
      </c>
      <c r="L280" s="334">
        <v>0</v>
      </c>
      <c r="M280" s="334"/>
      <c r="N280" s="334">
        <f t="shared" si="9"/>
        <v>0</v>
      </c>
      <c r="O280" s="334">
        <v>0</v>
      </c>
      <c r="P280" s="334"/>
    </row>
    <row r="281" spans="1:16" ht="25.5">
      <c r="A281" s="177">
        <v>305</v>
      </c>
      <c r="B281" s="326">
        <v>100</v>
      </c>
      <c r="C281" s="326">
        <v>650</v>
      </c>
      <c r="D281" s="326">
        <v>600</v>
      </c>
      <c r="E281" s="326">
        <v>90</v>
      </c>
      <c r="F281" s="178">
        <v>0</v>
      </c>
      <c r="G281" s="330" t="s">
        <v>2599</v>
      </c>
      <c r="H281" s="330" t="s">
        <v>836</v>
      </c>
      <c r="I281" s="326"/>
      <c r="J281" s="326"/>
      <c r="K281" s="334">
        <f t="shared" si="8"/>
        <v>0</v>
      </c>
      <c r="L281" s="334">
        <v>0</v>
      </c>
      <c r="M281" s="334"/>
      <c r="N281" s="334">
        <f t="shared" si="9"/>
        <v>0</v>
      </c>
      <c r="O281" s="334">
        <v>0</v>
      </c>
      <c r="P281" s="334"/>
    </row>
    <row r="282" spans="1:16" ht="38.25">
      <c r="A282" s="177">
        <v>305</v>
      </c>
      <c r="B282" s="326">
        <v>100</v>
      </c>
      <c r="C282" s="326">
        <v>650</v>
      </c>
      <c r="D282" s="326">
        <v>700</v>
      </c>
      <c r="E282" s="326">
        <v>0</v>
      </c>
      <c r="F282" s="326">
        <v>0</v>
      </c>
      <c r="G282" s="331" t="s">
        <v>2600</v>
      </c>
      <c r="H282" s="331" t="s">
        <v>850</v>
      </c>
      <c r="I282" s="326" t="s">
        <v>851</v>
      </c>
      <c r="J282" s="325" t="s">
        <v>1529</v>
      </c>
      <c r="K282" s="335">
        <f t="shared" si="8"/>
        <v>0</v>
      </c>
      <c r="L282" s="335">
        <v>0</v>
      </c>
      <c r="M282" s="335"/>
      <c r="N282" s="335">
        <f t="shared" si="9"/>
        <v>0</v>
      </c>
      <c r="O282" s="335">
        <v>0</v>
      </c>
      <c r="P282" s="335"/>
    </row>
    <row r="283" spans="1:16" ht="25.5">
      <c r="A283" s="177">
        <v>305</v>
      </c>
      <c r="B283" s="326">
        <v>100</v>
      </c>
      <c r="C283" s="326">
        <v>650</v>
      </c>
      <c r="D283" s="326">
        <v>700</v>
      </c>
      <c r="E283" s="326">
        <v>5</v>
      </c>
      <c r="F283" s="326">
        <v>0</v>
      </c>
      <c r="G283" s="330" t="s">
        <v>2601</v>
      </c>
      <c r="H283" s="330" t="s">
        <v>841</v>
      </c>
      <c r="I283" s="332"/>
      <c r="J283" s="332" t="s">
        <v>1529</v>
      </c>
      <c r="K283" s="334">
        <f t="shared" si="8"/>
        <v>0</v>
      </c>
      <c r="L283" s="334">
        <v>0</v>
      </c>
      <c r="M283" s="334"/>
      <c r="N283" s="334">
        <f t="shared" si="9"/>
        <v>0</v>
      </c>
      <c r="O283" s="334">
        <v>0</v>
      </c>
      <c r="P283" s="334"/>
    </row>
    <row r="284" spans="1:16" ht="25.5">
      <c r="A284" s="177">
        <v>305</v>
      </c>
      <c r="B284" s="326">
        <v>100</v>
      </c>
      <c r="C284" s="326">
        <v>650</v>
      </c>
      <c r="D284" s="326">
        <v>700</v>
      </c>
      <c r="E284" s="326">
        <v>10</v>
      </c>
      <c r="F284" s="326">
        <v>0</v>
      </c>
      <c r="G284" s="330" t="s">
        <v>2602</v>
      </c>
      <c r="H284" s="330" t="s">
        <v>842</v>
      </c>
      <c r="I284" s="332"/>
      <c r="J284" s="332" t="s">
        <v>1529</v>
      </c>
      <c r="K284" s="334">
        <f t="shared" si="8"/>
        <v>0</v>
      </c>
      <c r="L284" s="334">
        <v>0</v>
      </c>
      <c r="M284" s="334"/>
      <c r="N284" s="334">
        <f t="shared" si="9"/>
        <v>0</v>
      </c>
      <c r="O284" s="334">
        <v>0</v>
      </c>
      <c r="P284" s="334"/>
    </row>
    <row r="285" spans="1:16" ht="25.5">
      <c r="A285" s="177">
        <v>305</v>
      </c>
      <c r="B285" s="326">
        <v>100</v>
      </c>
      <c r="C285" s="326">
        <v>650</v>
      </c>
      <c r="D285" s="326">
        <v>700</v>
      </c>
      <c r="E285" s="326">
        <v>15</v>
      </c>
      <c r="F285" s="326">
        <v>0</v>
      </c>
      <c r="G285" s="330" t="s">
        <v>2603</v>
      </c>
      <c r="H285" s="330" t="s">
        <v>843</v>
      </c>
      <c r="I285" s="332"/>
      <c r="J285" s="332" t="s">
        <v>1529</v>
      </c>
      <c r="K285" s="334">
        <f t="shared" si="8"/>
        <v>0</v>
      </c>
      <c r="L285" s="334">
        <v>0</v>
      </c>
      <c r="M285" s="334"/>
      <c r="N285" s="334">
        <f t="shared" si="9"/>
        <v>0</v>
      </c>
      <c r="O285" s="334">
        <v>0</v>
      </c>
      <c r="P285" s="334"/>
    </row>
    <row r="286" spans="1:16" ht="25.5">
      <c r="A286" s="177">
        <v>305</v>
      </c>
      <c r="B286" s="326">
        <v>100</v>
      </c>
      <c r="C286" s="326">
        <v>650</v>
      </c>
      <c r="D286" s="326">
        <v>700</v>
      </c>
      <c r="E286" s="326">
        <v>20</v>
      </c>
      <c r="F286" s="326">
        <v>0</v>
      </c>
      <c r="G286" s="330" t="s">
        <v>2604</v>
      </c>
      <c r="H286" s="330" t="s">
        <v>844</v>
      </c>
      <c r="I286" s="332"/>
      <c r="J286" s="332" t="s">
        <v>1529</v>
      </c>
      <c r="K286" s="334">
        <f t="shared" si="8"/>
        <v>0</v>
      </c>
      <c r="L286" s="334">
        <v>0</v>
      </c>
      <c r="M286" s="334"/>
      <c r="N286" s="334">
        <f t="shared" si="9"/>
        <v>0</v>
      </c>
      <c r="O286" s="334">
        <v>0</v>
      </c>
      <c r="P286" s="334"/>
    </row>
    <row r="287" spans="1:16" ht="25.5">
      <c r="A287" s="177">
        <v>305</v>
      </c>
      <c r="B287" s="326">
        <v>100</v>
      </c>
      <c r="C287" s="326">
        <v>650</v>
      </c>
      <c r="D287" s="326">
        <v>700</v>
      </c>
      <c r="E287" s="326">
        <v>25</v>
      </c>
      <c r="F287" s="326">
        <v>0</v>
      </c>
      <c r="G287" s="330" t="s">
        <v>2605</v>
      </c>
      <c r="H287" s="330" t="s">
        <v>845</v>
      </c>
      <c r="I287" s="332"/>
      <c r="J287" s="332" t="s">
        <v>1529</v>
      </c>
      <c r="K287" s="334">
        <f t="shared" si="8"/>
        <v>0</v>
      </c>
      <c r="L287" s="334">
        <v>0</v>
      </c>
      <c r="M287" s="334"/>
      <c r="N287" s="334">
        <f t="shared" si="9"/>
        <v>0</v>
      </c>
      <c r="O287" s="334">
        <v>0</v>
      </c>
      <c r="P287" s="334"/>
    </row>
    <row r="288" spans="1:16" ht="25.5">
      <c r="A288" s="177">
        <v>305</v>
      </c>
      <c r="B288" s="326">
        <v>100</v>
      </c>
      <c r="C288" s="326">
        <v>650</v>
      </c>
      <c r="D288" s="326">
        <v>700</v>
      </c>
      <c r="E288" s="326">
        <v>30</v>
      </c>
      <c r="F288" s="326">
        <v>0</v>
      </c>
      <c r="G288" s="330" t="s">
        <v>2606</v>
      </c>
      <c r="H288" s="330" t="s">
        <v>846</v>
      </c>
      <c r="I288" s="332"/>
      <c r="J288" s="332" t="s">
        <v>1529</v>
      </c>
      <c r="K288" s="334">
        <f t="shared" si="8"/>
        <v>0</v>
      </c>
      <c r="L288" s="334">
        <v>0</v>
      </c>
      <c r="M288" s="334"/>
      <c r="N288" s="334">
        <f t="shared" si="9"/>
        <v>0</v>
      </c>
      <c r="O288" s="334">
        <v>0</v>
      </c>
      <c r="P288" s="334"/>
    </row>
    <row r="289" spans="1:16" ht="25.5">
      <c r="A289" s="177">
        <v>305</v>
      </c>
      <c r="B289" s="326">
        <v>100</v>
      </c>
      <c r="C289" s="326">
        <v>650</v>
      </c>
      <c r="D289" s="326">
        <v>700</v>
      </c>
      <c r="E289" s="326">
        <v>35</v>
      </c>
      <c r="F289" s="326">
        <v>0</v>
      </c>
      <c r="G289" s="330" t="s">
        <v>2607</v>
      </c>
      <c r="H289" s="330" t="s">
        <v>847</v>
      </c>
      <c r="I289" s="332"/>
      <c r="J289" s="332" t="s">
        <v>1529</v>
      </c>
      <c r="K289" s="334">
        <f t="shared" si="8"/>
        <v>0</v>
      </c>
      <c r="L289" s="334">
        <v>0</v>
      </c>
      <c r="M289" s="334"/>
      <c r="N289" s="334">
        <f t="shared" si="9"/>
        <v>0</v>
      </c>
      <c r="O289" s="334">
        <v>0</v>
      </c>
      <c r="P289" s="334"/>
    </row>
    <row r="290" spans="1:16" ht="25.5">
      <c r="A290" s="177">
        <v>305</v>
      </c>
      <c r="B290" s="326">
        <v>100</v>
      </c>
      <c r="C290" s="326">
        <v>650</v>
      </c>
      <c r="D290" s="326">
        <v>700</v>
      </c>
      <c r="E290" s="326">
        <v>40</v>
      </c>
      <c r="F290" s="326">
        <v>0</v>
      </c>
      <c r="G290" s="330" t="s">
        <v>2608</v>
      </c>
      <c r="H290" s="330" t="s">
        <v>839</v>
      </c>
      <c r="I290" s="332"/>
      <c r="J290" s="332" t="s">
        <v>1529</v>
      </c>
      <c r="K290" s="334">
        <f t="shared" si="8"/>
        <v>0</v>
      </c>
      <c r="L290" s="334">
        <v>0</v>
      </c>
      <c r="M290" s="334"/>
      <c r="N290" s="334">
        <f t="shared" si="9"/>
        <v>0</v>
      </c>
      <c r="O290" s="334">
        <v>0</v>
      </c>
      <c r="P290" s="334"/>
    </row>
    <row r="291" spans="1:16" ht="25.5">
      <c r="A291" s="177">
        <v>305</v>
      </c>
      <c r="B291" s="326">
        <v>100</v>
      </c>
      <c r="C291" s="326">
        <v>650</v>
      </c>
      <c r="D291" s="326">
        <v>700</v>
      </c>
      <c r="E291" s="326">
        <v>90</v>
      </c>
      <c r="F291" s="326">
        <v>0</v>
      </c>
      <c r="G291" s="330" t="s">
        <v>2609</v>
      </c>
      <c r="H291" s="330" t="s">
        <v>836</v>
      </c>
      <c r="I291" s="332"/>
      <c r="J291" s="332" t="s">
        <v>1529</v>
      </c>
      <c r="K291" s="334">
        <f t="shared" si="8"/>
        <v>0</v>
      </c>
      <c r="L291" s="334">
        <v>0</v>
      </c>
      <c r="M291" s="334"/>
      <c r="N291" s="334">
        <f t="shared" si="9"/>
        <v>0</v>
      </c>
      <c r="O291" s="334">
        <v>0</v>
      </c>
      <c r="P291" s="334"/>
    </row>
    <row r="292" spans="1:16">
      <c r="A292" s="177">
        <v>305</v>
      </c>
      <c r="B292" s="326">
        <v>100</v>
      </c>
      <c r="C292" s="326">
        <v>700</v>
      </c>
      <c r="D292" s="326">
        <v>0</v>
      </c>
      <c r="E292" s="326">
        <v>0</v>
      </c>
      <c r="F292" s="326">
        <v>0</v>
      </c>
      <c r="G292" s="331" t="s">
        <v>2610</v>
      </c>
      <c r="H292" s="331" t="s">
        <v>852</v>
      </c>
      <c r="I292" s="326" t="s">
        <v>853</v>
      </c>
      <c r="J292" s="325"/>
      <c r="K292" s="335">
        <f t="shared" si="8"/>
        <v>0</v>
      </c>
      <c r="L292" s="335">
        <v>0</v>
      </c>
      <c r="M292" s="335"/>
      <c r="N292" s="335">
        <f t="shared" si="9"/>
        <v>0</v>
      </c>
      <c r="O292" s="335">
        <v>0</v>
      </c>
      <c r="P292" s="335"/>
    </row>
    <row r="293" spans="1:16">
      <c r="A293" s="177">
        <v>305</v>
      </c>
      <c r="B293" s="326">
        <v>100</v>
      </c>
      <c r="C293" s="326">
        <v>700</v>
      </c>
      <c r="D293" s="326">
        <v>100</v>
      </c>
      <c r="E293" s="326">
        <v>0</v>
      </c>
      <c r="F293" s="326">
        <v>0</v>
      </c>
      <c r="G293" s="330" t="s">
        <v>2611</v>
      </c>
      <c r="H293" s="330" t="s">
        <v>854</v>
      </c>
      <c r="I293" s="326" t="s">
        <v>855</v>
      </c>
      <c r="J293" s="326"/>
      <c r="K293" s="334">
        <f t="shared" si="8"/>
        <v>0</v>
      </c>
      <c r="L293" s="334">
        <v>0</v>
      </c>
      <c r="M293" s="334"/>
      <c r="N293" s="334">
        <f t="shared" si="9"/>
        <v>0</v>
      </c>
      <c r="O293" s="334">
        <v>0</v>
      </c>
      <c r="P293" s="334"/>
    </row>
    <row r="294" spans="1:16">
      <c r="A294" s="177">
        <v>305</v>
      </c>
      <c r="B294" s="326">
        <v>100</v>
      </c>
      <c r="C294" s="326">
        <v>700</v>
      </c>
      <c r="D294" s="326">
        <v>200</v>
      </c>
      <c r="E294" s="326">
        <v>0</v>
      </c>
      <c r="F294" s="326">
        <v>0</v>
      </c>
      <c r="G294" s="330" t="s">
        <v>2612</v>
      </c>
      <c r="H294" s="330" t="s">
        <v>856</v>
      </c>
      <c r="I294" s="326" t="s">
        <v>857</v>
      </c>
      <c r="J294" s="326"/>
      <c r="K294" s="334">
        <f t="shared" si="8"/>
        <v>0</v>
      </c>
      <c r="L294" s="334">
        <v>0</v>
      </c>
      <c r="M294" s="334"/>
      <c r="N294" s="334">
        <f t="shared" si="9"/>
        <v>0</v>
      </c>
      <c r="O294" s="334">
        <v>0</v>
      </c>
      <c r="P294" s="334"/>
    </row>
    <row r="295" spans="1:16" ht="25.5">
      <c r="A295" s="177">
        <v>305</v>
      </c>
      <c r="B295" s="326">
        <v>100</v>
      </c>
      <c r="C295" s="326">
        <v>700</v>
      </c>
      <c r="D295" s="326">
        <v>300</v>
      </c>
      <c r="E295" s="326">
        <v>0</v>
      </c>
      <c r="F295" s="326">
        <v>0</v>
      </c>
      <c r="G295" s="330" t="s">
        <v>2613</v>
      </c>
      <c r="H295" s="330" t="s">
        <v>858</v>
      </c>
      <c r="I295" s="326" t="s">
        <v>859</v>
      </c>
      <c r="J295" s="326"/>
      <c r="K295" s="334">
        <f t="shared" si="8"/>
        <v>0</v>
      </c>
      <c r="L295" s="334">
        <v>0</v>
      </c>
      <c r="M295" s="334"/>
      <c r="N295" s="334">
        <f t="shared" si="9"/>
        <v>0</v>
      </c>
      <c r="O295" s="334">
        <v>0</v>
      </c>
      <c r="P295" s="334"/>
    </row>
    <row r="296" spans="1:16">
      <c r="A296" s="177">
        <v>305</v>
      </c>
      <c r="B296" s="326">
        <v>100</v>
      </c>
      <c r="C296" s="326">
        <v>700</v>
      </c>
      <c r="D296" s="326">
        <v>400</v>
      </c>
      <c r="E296" s="326">
        <v>0</v>
      </c>
      <c r="F296" s="326">
        <v>0</v>
      </c>
      <c r="G296" s="330" t="s">
        <v>2614</v>
      </c>
      <c r="H296" s="330" t="s">
        <v>860</v>
      </c>
      <c r="I296" s="326" t="s">
        <v>861</v>
      </c>
      <c r="J296" s="326"/>
      <c r="K296" s="334">
        <f t="shared" si="8"/>
        <v>0</v>
      </c>
      <c r="L296" s="334">
        <v>0</v>
      </c>
      <c r="M296" s="334"/>
      <c r="N296" s="334">
        <f t="shared" si="9"/>
        <v>0</v>
      </c>
      <c r="O296" s="334">
        <v>0</v>
      </c>
      <c r="P296" s="334"/>
    </row>
    <row r="297" spans="1:16">
      <c r="A297" s="177">
        <v>305</v>
      </c>
      <c r="B297" s="326">
        <v>100</v>
      </c>
      <c r="C297" s="326">
        <v>700</v>
      </c>
      <c r="D297" s="326">
        <v>500</v>
      </c>
      <c r="E297" s="326">
        <v>0</v>
      </c>
      <c r="F297" s="326">
        <v>0</v>
      </c>
      <c r="G297" s="331" t="s">
        <v>2615</v>
      </c>
      <c r="H297" s="331" t="s">
        <v>862</v>
      </c>
      <c r="I297" s="326" t="s">
        <v>863</v>
      </c>
      <c r="J297" s="325"/>
      <c r="K297" s="335">
        <f t="shared" si="8"/>
        <v>0</v>
      </c>
      <c r="L297" s="335">
        <v>0</v>
      </c>
      <c r="M297" s="335"/>
      <c r="N297" s="335">
        <f t="shared" si="9"/>
        <v>0</v>
      </c>
      <c r="O297" s="335">
        <v>0</v>
      </c>
      <c r="P297" s="335"/>
    </row>
    <row r="298" spans="1:16">
      <c r="A298" s="177">
        <v>305</v>
      </c>
      <c r="B298" s="326">
        <v>100</v>
      </c>
      <c r="C298" s="326">
        <v>700</v>
      </c>
      <c r="D298" s="326">
        <v>500</v>
      </c>
      <c r="E298" s="326">
        <v>5</v>
      </c>
      <c r="F298" s="178">
        <v>0</v>
      </c>
      <c r="G298" s="330" t="s">
        <v>2616</v>
      </c>
      <c r="H298" s="330" t="s">
        <v>864</v>
      </c>
      <c r="I298" s="326"/>
      <c r="J298" s="326"/>
      <c r="K298" s="334">
        <f t="shared" si="8"/>
        <v>0</v>
      </c>
      <c r="L298" s="334">
        <v>0</v>
      </c>
      <c r="M298" s="334"/>
      <c r="N298" s="334">
        <f t="shared" si="9"/>
        <v>0</v>
      </c>
      <c r="O298" s="334">
        <v>0</v>
      </c>
      <c r="P298" s="334"/>
    </row>
    <row r="299" spans="1:16">
      <c r="A299" s="177">
        <v>305</v>
      </c>
      <c r="B299" s="326">
        <v>100</v>
      </c>
      <c r="C299" s="326">
        <v>700</v>
      </c>
      <c r="D299" s="326">
        <v>500</v>
      </c>
      <c r="E299" s="326">
        <v>10</v>
      </c>
      <c r="F299" s="178">
        <v>0</v>
      </c>
      <c r="G299" s="330" t="s">
        <v>2617</v>
      </c>
      <c r="H299" s="330" t="s">
        <v>865</v>
      </c>
      <c r="I299" s="326"/>
      <c r="J299" s="326"/>
      <c r="K299" s="334">
        <f t="shared" si="8"/>
        <v>0</v>
      </c>
      <c r="L299" s="334">
        <v>0</v>
      </c>
      <c r="M299" s="334"/>
      <c r="N299" s="334">
        <f t="shared" si="9"/>
        <v>0</v>
      </c>
      <c r="O299" s="334">
        <v>0</v>
      </c>
      <c r="P299" s="334"/>
    </row>
    <row r="300" spans="1:16">
      <c r="A300" s="177">
        <v>305</v>
      </c>
      <c r="B300" s="326">
        <v>100</v>
      </c>
      <c r="C300" s="326">
        <v>700</v>
      </c>
      <c r="D300" s="326">
        <v>500</v>
      </c>
      <c r="E300" s="326">
        <v>15</v>
      </c>
      <c r="F300" s="178">
        <v>0</v>
      </c>
      <c r="G300" s="330" t="s">
        <v>2618</v>
      </c>
      <c r="H300" s="330" t="s">
        <v>866</v>
      </c>
      <c r="I300" s="326"/>
      <c r="J300" s="326"/>
      <c r="K300" s="334">
        <f t="shared" si="8"/>
        <v>0</v>
      </c>
      <c r="L300" s="334">
        <v>0</v>
      </c>
      <c r="M300" s="334"/>
      <c r="N300" s="334">
        <f t="shared" si="9"/>
        <v>0</v>
      </c>
      <c r="O300" s="334">
        <v>0</v>
      </c>
      <c r="P300" s="334"/>
    </row>
    <row r="301" spans="1:16">
      <c r="A301" s="177">
        <v>305</v>
      </c>
      <c r="B301" s="326">
        <v>100</v>
      </c>
      <c r="C301" s="326">
        <v>700</v>
      </c>
      <c r="D301" s="326">
        <v>500</v>
      </c>
      <c r="E301" s="326">
        <v>20</v>
      </c>
      <c r="F301" s="326">
        <v>0</v>
      </c>
      <c r="G301" s="330" t="s">
        <v>2619</v>
      </c>
      <c r="H301" s="330" t="s">
        <v>867</v>
      </c>
      <c r="I301" s="326"/>
      <c r="J301" s="326"/>
      <c r="K301" s="334">
        <f t="shared" si="8"/>
        <v>0</v>
      </c>
      <c r="L301" s="334">
        <v>0</v>
      </c>
      <c r="M301" s="334"/>
      <c r="N301" s="334">
        <f t="shared" si="9"/>
        <v>0</v>
      </c>
      <c r="O301" s="334">
        <v>0</v>
      </c>
      <c r="P301" s="334"/>
    </row>
    <row r="302" spans="1:16">
      <c r="A302" s="177">
        <v>305</v>
      </c>
      <c r="B302" s="326">
        <v>100</v>
      </c>
      <c r="C302" s="326">
        <v>700</v>
      </c>
      <c r="D302" s="326">
        <v>500</v>
      </c>
      <c r="E302" s="326">
        <v>25</v>
      </c>
      <c r="F302" s="178">
        <v>0</v>
      </c>
      <c r="G302" s="330" t="s">
        <v>2620</v>
      </c>
      <c r="H302" s="330" t="s">
        <v>868</v>
      </c>
      <c r="I302" s="326"/>
      <c r="J302" s="326"/>
      <c r="K302" s="334">
        <f t="shared" si="8"/>
        <v>0</v>
      </c>
      <c r="L302" s="334">
        <v>0</v>
      </c>
      <c r="M302" s="334"/>
      <c r="N302" s="334">
        <f t="shared" si="9"/>
        <v>0</v>
      </c>
      <c r="O302" s="334">
        <v>0</v>
      </c>
      <c r="P302" s="334"/>
    </row>
    <row r="303" spans="1:16">
      <c r="A303" s="177">
        <v>305</v>
      </c>
      <c r="B303" s="326">
        <v>100</v>
      </c>
      <c r="C303" s="326">
        <v>700</v>
      </c>
      <c r="D303" s="326">
        <v>500</v>
      </c>
      <c r="E303" s="326">
        <v>30</v>
      </c>
      <c r="F303" s="178">
        <v>0</v>
      </c>
      <c r="G303" s="330" t="s">
        <v>2621</v>
      </c>
      <c r="H303" s="330" t="s">
        <v>869</v>
      </c>
      <c r="I303" s="326"/>
      <c r="J303" s="326"/>
      <c r="K303" s="334">
        <f t="shared" si="8"/>
        <v>0</v>
      </c>
      <c r="L303" s="334">
        <v>0</v>
      </c>
      <c r="M303" s="334"/>
      <c r="N303" s="334">
        <f t="shared" si="9"/>
        <v>0</v>
      </c>
      <c r="O303" s="334">
        <v>0</v>
      </c>
      <c r="P303" s="334"/>
    </row>
    <row r="304" spans="1:16">
      <c r="A304" s="177">
        <v>305</v>
      </c>
      <c r="B304" s="326">
        <v>100</v>
      </c>
      <c r="C304" s="326">
        <v>700</v>
      </c>
      <c r="D304" s="326">
        <v>500</v>
      </c>
      <c r="E304" s="326">
        <v>35</v>
      </c>
      <c r="F304" s="178">
        <v>0</v>
      </c>
      <c r="G304" s="330" t="s">
        <v>2622</v>
      </c>
      <c r="H304" s="330" t="s">
        <v>870</v>
      </c>
      <c r="I304" s="326"/>
      <c r="J304" s="326"/>
      <c r="K304" s="334">
        <f t="shared" si="8"/>
        <v>1095586.54</v>
      </c>
      <c r="L304" s="334">
        <v>1095586.54</v>
      </c>
      <c r="M304" s="334"/>
      <c r="N304" s="334">
        <f t="shared" si="9"/>
        <v>661071.61</v>
      </c>
      <c r="O304" s="334">
        <v>661071.61</v>
      </c>
      <c r="P304" s="334"/>
    </row>
    <row r="305" spans="1:16">
      <c r="A305" s="177">
        <v>305</v>
      </c>
      <c r="B305" s="326">
        <v>100</v>
      </c>
      <c r="C305" s="326">
        <v>700</v>
      </c>
      <c r="D305" s="326">
        <v>500</v>
      </c>
      <c r="E305" s="326">
        <v>40</v>
      </c>
      <c r="F305" s="178">
        <v>0</v>
      </c>
      <c r="G305" s="330" t="s">
        <v>2623</v>
      </c>
      <c r="H305" s="330" t="s">
        <v>871</v>
      </c>
      <c r="I305" s="326"/>
      <c r="J305" s="326"/>
      <c r="K305" s="334">
        <f t="shared" si="8"/>
        <v>0</v>
      </c>
      <c r="L305" s="334">
        <v>0</v>
      </c>
      <c r="M305" s="334"/>
      <c r="N305" s="334">
        <f t="shared" si="9"/>
        <v>0</v>
      </c>
      <c r="O305" s="334">
        <v>0</v>
      </c>
      <c r="P305" s="334"/>
    </row>
    <row r="306" spans="1:16">
      <c r="A306" s="177">
        <v>305</v>
      </c>
      <c r="B306" s="326">
        <v>100</v>
      </c>
      <c r="C306" s="326">
        <v>700</v>
      </c>
      <c r="D306" s="326">
        <v>500</v>
      </c>
      <c r="E306" s="326">
        <v>45</v>
      </c>
      <c r="F306" s="178">
        <v>0</v>
      </c>
      <c r="G306" s="330" t="s">
        <v>2624</v>
      </c>
      <c r="H306" s="330" t="s">
        <v>872</v>
      </c>
      <c r="I306" s="326"/>
      <c r="J306" s="326"/>
      <c r="K306" s="334">
        <f t="shared" si="8"/>
        <v>0</v>
      </c>
      <c r="L306" s="334">
        <v>0</v>
      </c>
      <c r="M306" s="334"/>
      <c r="N306" s="334">
        <f t="shared" si="9"/>
        <v>0</v>
      </c>
      <c r="O306" s="334">
        <v>0</v>
      </c>
      <c r="P306" s="334"/>
    </row>
    <row r="307" spans="1:16">
      <c r="A307" s="177">
        <v>305</v>
      </c>
      <c r="B307" s="326">
        <v>100</v>
      </c>
      <c r="C307" s="326">
        <v>700</v>
      </c>
      <c r="D307" s="326">
        <v>500</v>
      </c>
      <c r="E307" s="326">
        <v>90</v>
      </c>
      <c r="F307" s="326">
        <v>0</v>
      </c>
      <c r="G307" s="330" t="s">
        <v>2625</v>
      </c>
      <c r="H307" s="330" t="s">
        <v>862</v>
      </c>
      <c r="I307" s="326"/>
      <c r="J307" s="326"/>
      <c r="K307" s="334">
        <f t="shared" si="8"/>
        <v>39548.6</v>
      </c>
      <c r="L307" s="334">
        <v>39548.6</v>
      </c>
      <c r="M307" s="334"/>
      <c r="N307" s="334">
        <f t="shared" si="9"/>
        <v>35731.25</v>
      </c>
      <c r="O307" s="334">
        <v>35731.25</v>
      </c>
      <c r="P307" s="334"/>
    </row>
    <row r="308" spans="1:16" ht="25.5">
      <c r="A308" s="177">
        <v>305</v>
      </c>
      <c r="B308" s="326">
        <v>100</v>
      </c>
      <c r="C308" s="326">
        <v>700</v>
      </c>
      <c r="D308" s="326">
        <v>600</v>
      </c>
      <c r="E308" s="326">
        <v>0</v>
      </c>
      <c r="F308" s="326">
        <v>0</v>
      </c>
      <c r="G308" s="331" t="s">
        <v>2626</v>
      </c>
      <c r="H308" s="331" t="s">
        <v>873</v>
      </c>
      <c r="I308" s="326" t="s">
        <v>874</v>
      </c>
      <c r="J308" s="325" t="s">
        <v>1529</v>
      </c>
      <c r="K308" s="342">
        <f t="shared" si="8"/>
        <v>0</v>
      </c>
      <c r="L308" s="342">
        <v>0</v>
      </c>
      <c r="M308" s="342"/>
      <c r="N308" s="342">
        <f t="shared" si="9"/>
        <v>0</v>
      </c>
      <c r="O308" s="342">
        <v>0</v>
      </c>
      <c r="P308" s="342"/>
    </row>
    <row r="309" spans="1:16" ht="25.5">
      <c r="A309" s="177">
        <v>305</v>
      </c>
      <c r="B309" s="326">
        <v>100</v>
      </c>
      <c r="C309" s="326">
        <v>700</v>
      </c>
      <c r="D309" s="326">
        <v>600</v>
      </c>
      <c r="E309" s="326">
        <v>10</v>
      </c>
      <c r="F309" s="326">
        <v>0</v>
      </c>
      <c r="G309" s="330" t="s">
        <v>2627</v>
      </c>
      <c r="H309" s="330" t="s">
        <v>875</v>
      </c>
      <c r="I309" s="332"/>
      <c r="J309" s="332" t="s">
        <v>1529</v>
      </c>
      <c r="K309" s="334">
        <f t="shared" si="8"/>
        <v>0</v>
      </c>
      <c r="L309" s="334">
        <v>0</v>
      </c>
      <c r="M309" s="334"/>
      <c r="N309" s="334">
        <f t="shared" si="9"/>
        <v>0</v>
      </c>
      <c r="O309" s="334">
        <v>0</v>
      </c>
      <c r="P309" s="334"/>
    </row>
    <row r="310" spans="1:16" ht="25.5">
      <c r="A310" s="177">
        <v>305</v>
      </c>
      <c r="B310" s="326">
        <v>100</v>
      </c>
      <c r="C310" s="326">
        <v>700</v>
      </c>
      <c r="D310" s="326">
        <v>600</v>
      </c>
      <c r="E310" s="326">
        <v>90</v>
      </c>
      <c r="F310" s="326">
        <v>0</v>
      </c>
      <c r="G310" s="330" t="s">
        <v>2628</v>
      </c>
      <c r="H310" s="330" t="s">
        <v>876</v>
      </c>
      <c r="I310" s="332"/>
      <c r="J310" s="332" t="s">
        <v>1529</v>
      </c>
      <c r="K310" s="334">
        <f t="shared" si="8"/>
        <v>1640611.16</v>
      </c>
      <c r="L310" s="334">
        <v>1640611.16</v>
      </c>
      <c r="M310" s="334"/>
      <c r="N310" s="334">
        <f t="shared" si="9"/>
        <v>1681337</v>
      </c>
      <c r="O310" s="334">
        <v>1681337</v>
      </c>
      <c r="P310" s="334"/>
    </row>
    <row r="311" spans="1:16">
      <c r="A311" s="177">
        <v>305</v>
      </c>
      <c r="B311" s="326">
        <v>100</v>
      </c>
      <c r="C311" s="326">
        <v>700</v>
      </c>
      <c r="D311" s="326">
        <v>700</v>
      </c>
      <c r="E311" s="326">
        <v>0</v>
      </c>
      <c r="F311" s="326">
        <v>0</v>
      </c>
      <c r="G311" s="330" t="s">
        <v>2629</v>
      </c>
      <c r="H311" s="330" t="s">
        <v>877</v>
      </c>
      <c r="I311" s="332" t="s">
        <v>878</v>
      </c>
      <c r="J311" s="333" t="s">
        <v>1529</v>
      </c>
      <c r="K311" s="336">
        <f t="shared" si="8"/>
        <v>0</v>
      </c>
      <c r="L311" s="336">
        <v>0</v>
      </c>
      <c r="M311" s="336"/>
      <c r="N311" s="336">
        <f t="shared" si="9"/>
        <v>0</v>
      </c>
      <c r="O311" s="336">
        <v>0</v>
      </c>
      <c r="P311" s="336"/>
    </row>
    <row r="312" spans="1:16" ht="25.5">
      <c r="A312" s="177">
        <v>305</v>
      </c>
      <c r="B312" s="326">
        <v>100</v>
      </c>
      <c r="C312" s="326">
        <v>750</v>
      </c>
      <c r="D312" s="326">
        <v>0</v>
      </c>
      <c r="E312" s="326">
        <v>0</v>
      </c>
      <c r="F312" s="326">
        <v>0</v>
      </c>
      <c r="G312" s="331" t="s">
        <v>2630</v>
      </c>
      <c r="H312" s="331" t="s">
        <v>879</v>
      </c>
      <c r="I312" s="332" t="s">
        <v>880</v>
      </c>
      <c r="J312" s="333"/>
      <c r="K312" s="335">
        <f t="shared" si="8"/>
        <v>0</v>
      </c>
      <c r="L312" s="335">
        <v>0</v>
      </c>
      <c r="M312" s="335"/>
      <c r="N312" s="335">
        <f t="shared" si="9"/>
        <v>0</v>
      </c>
      <c r="O312" s="335">
        <v>0</v>
      </c>
      <c r="P312" s="335"/>
    </row>
    <row r="313" spans="1:16" ht="25.5">
      <c r="A313" s="177">
        <v>305</v>
      </c>
      <c r="B313" s="326">
        <v>100</v>
      </c>
      <c r="C313" s="326">
        <v>750</v>
      </c>
      <c r="D313" s="326">
        <v>100</v>
      </c>
      <c r="E313" s="326">
        <v>0</v>
      </c>
      <c r="F313" s="326">
        <v>0</v>
      </c>
      <c r="G313" s="330" t="s">
        <v>2631</v>
      </c>
      <c r="H313" s="330" t="s">
        <v>881</v>
      </c>
      <c r="I313" s="332" t="s">
        <v>882</v>
      </c>
      <c r="J313" s="332" t="s">
        <v>1529</v>
      </c>
      <c r="K313" s="334">
        <f t="shared" si="8"/>
        <v>180850.48</v>
      </c>
      <c r="L313" s="334">
        <v>180850.48</v>
      </c>
      <c r="M313" s="334"/>
      <c r="N313" s="334">
        <f t="shared" si="9"/>
        <v>74602.880000000005</v>
      </c>
      <c r="O313" s="334">
        <v>74602.880000000005</v>
      </c>
      <c r="P313" s="334"/>
    </row>
    <row r="314" spans="1:16" ht="25.5">
      <c r="A314" s="177">
        <v>305</v>
      </c>
      <c r="B314" s="326">
        <v>100</v>
      </c>
      <c r="C314" s="326">
        <v>750</v>
      </c>
      <c r="D314" s="326">
        <v>200</v>
      </c>
      <c r="E314" s="326">
        <v>0</v>
      </c>
      <c r="F314" s="326">
        <v>0</v>
      </c>
      <c r="G314" s="330" t="s">
        <v>2632</v>
      </c>
      <c r="H314" s="330" t="s">
        <v>883</v>
      </c>
      <c r="I314" s="326" t="s">
        <v>884</v>
      </c>
      <c r="J314" s="326"/>
      <c r="K314" s="334">
        <f t="shared" si="8"/>
        <v>0</v>
      </c>
      <c r="L314" s="334">
        <v>0</v>
      </c>
      <c r="M314" s="334"/>
      <c r="N314" s="334">
        <f t="shared" si="9"/>
        <v>5201.5</v>
      </c>
      <c r="O314" s="334">
        <v>5201.5</v>
      </c>
      <c r="P314" s="334"/>
    </row>
    <row r="315" spans="1:16" ht="25.5">
      <c r="A315" s="177">
        <v>305</v>
      </c>
      <c r="B315" s="326">
        <v>100</v>
      </c>
      <c r="C315" s="326">
        <v>750</v>
      </c>
      <c r="D315" s="326">
        <v>300</v>
      </c>
      <c r="E315" s="326">
        <v>0</v>
      </c>
      <c r="F315" s="326">
        <v>0</v>
      </c>
      <c r="G315" s="331" t="s">
        <v>2633</v>
      </c>
      <c r="H315" s="331" t="s">
        <v>885</v>
      </c>
      <c r="I315" s="326" t="s">
        <v>886</v>
      </c>
      <c r="J315" s="325"/>
      <c r="K315" s="335">
        <f t="shared" si="8"/>
        <v>0</v>
      </c>
      <c r="L315" s="335">
        <v>0</v>
      </c>
      <c r="M315" s="335"/>
      <c r="N315" s="335">
        <f t="shared" si="9"/>
        <v>0</v>
      </c>
      <c r="O315" s="335">
        <v>0</v>
      </c>
      <c r="P315" s="335"/>
    </row>
    <row r="316" spans="1:16" ht="25.5">
      <c r="A316" s="177">
        <v>305</v>
      </c>
      <c r="B316" s="326">
        <v>100</v>
      </c>
      <c r="C316" s="326">
        <v>750</v>
      </c>
      <c r="D316" s="326">
        <v>300</v>
      </c>
      <c r="E316" s="326">
        <v>10</v>
      </c>
      <c r="F316" s="326">
        <v>0</v>
      </c>
      <c r="G316" s="330" t="s">
        <v>2634</v>
      </c>
      <c r="H316" s="330" t="s">
        <v>887</v>
      </c>
      <c r="I316" s="326" t="s">
        <v>888</v>
      </c>
      <c r="J316" s="326"/>
      <c r="K316" s="334">
        <f t="shared" si="8"/>
        <v>175640.46</v>
      </c>
      <c r="L316" s="334">
        <v>175640.46</v>
      </c>
      <c r="M316" s="334"/>
      <c r="N316" s="334">
        <f t="shared" si="9"/>
        <v>174418.13</v>
      </c>
      <c r="O316" s="334">
        <v>174418.13</v>
      </c>
      <c r="P316" s="334"/>
    </row>
    <row r="317" spans="1:16">
      <c r="A317" s="177">
        <v>305</v>
      </c>
      <c r="B317" s="326">
        <v>100</v>
      </c>
      <c r="C317" s="326">
        <v>750</v>
      </c>
      <c r="D317" s="326">
        <v>300</v>
      </c>
      <c r="E317" s="326">
        <v>20</v>
      </c>
      <c r="F317" s="326">
        <v>0</v>
      </c>
      <c r="G317" s="331" t="s">
        <v>2635</v>
      </c>
      <c r="H317" s="331" t="s">
        <v>889</v>
      </c>
      <c r="I317" s="326" t="s">
        <v>890</v>
      </c>
      <c r="J317" s="325"/>
      <c r="K317" s="335">
        <f t="shared" si="8"/>
        <v>0</v>
      </c>
      <c r="L317" s="335">
        <v>0</v>
      </c>
      <c r="M317" s="335"/>
      <c r="N317" s="335">
        <f t="shared" si="9"/>
        <v>0</v>
      </c>
      <c r="O317" s="335">
        <v>0</v>
      </c>
      <c r="P317" s="335"/>
    </row>
    <row r="318" spans="1:16" ht="25.5">
      <c r="A318" s="177">
        <v>305</v>
      </c>
      <c r="B318" s="326">
        <v>100</v>
      </c>
      <c r="C318" s="326">
        <v>750</v>
      </c>
      <c r="D318" s="326">
        <v>300</v>
      </c>
      <c r="E318" s="326">
        <v>20</v>
      </c>
      <c r="F318" s="326">
        <v>5</v>
      </c>
      <c r="G318" s="330" t="s">
        <v>2636</v>
      </c>
      <c r="H318" s="330" t="s">
        <v>891</v>
      </c>
      <c r="I318" s="326"/>
      <c r="J318" s="326"/>
      <c r="K318" s="334">
        <f t="shared" si="8"/>
        <v>47853</v>
      </c>
      <c r="L318" s="334">
        <v>47853</v>
      </c>
      <c r="M318" s="334"/>
      <c r="N318" s="334">
        <f t="shared" si="9"/>
        <v>67745</v>
      </c>
      <c r="O318" s="334">
        <v>67745</v>
      </c>
      <c r="P318" s="334"/>
    </row>
    <row r="319" spans="1:16">
      <c r="A319" s="177">
        <v>305</v>
      </c>
      <c r="B319" s="326">
        <v>100</v>
      </c>
      <c r="C319" s="326">
        <v>750</v>
      </c>
      <c r="D319" s="326">
        <v>300</v>
      </c>
      <c r="E319" s="326">
        <v>20</v>
      </c>
      <c r="F319" s="326">
        <v>10</v>
      </c>
      <c r="G319" s="330" t="s">
        <v>2637</v>
      </c>
      <c r="H319" s="330" t="s">
        <v>892</v>
      </c>
      <c r="I319" s="326"/>
      <c r="J319" s="326"/>
      <c r="K319" s="334">
        <f t="shared" si="8"/>
        <v>0</v>
      </c>
      <c r="L319" s="334">
        <v>0</v>
      </c>
      <c r="M319" s="334"/>
      <c r="N319" s="334">
        <f t="shared" si="9"/>
        <v>0</v>
      </c>
      <c r="O319" s="334">
        <v>0</v>
      </c>
      <c r="P319" s="334"/>
    </row>
    <row r="320" spans="1:16" ht="25.5">
      <c r="A320" s="177">
        <v>305</v>
      </c>
      <c r="B320" s="326">
        <v>100</v>
      </c>
      <c r="C320" s="326">
        <v>750</v>
      </c>
      <c r="D320" s="326">
        <v>300</v>
      </c>
      <c r="E320" s="326">
        <v>20</v>
      </c>
      <c r="F320" s="326">
        <v>15</v>
      </c>
      <c r="G320" s="330" t="s">
        <v>2638</v>
      </c>
      <c r="H320" s="330" t="s">
        <v>893</v>
      </c>
      <c r="I320" s="326"/>
      <c r="J320" s="326"/>
      <c r="K320" s="334">
        <f t="shared" si="8"/>
        <v>0</v>
      </c>
      <c r="L320" s="334">
        <v>0</v>
      </c>
      <c r="M320" s="334"/>
      <c r="N320" s="334">
        <f t="shared" si="9"/>
        <v>0</v>
      </c>
      <c r="O320" s="334">
        <v>0</v>
      </c>
      <c r="P320" s="334"/>
    </row>
    <row r="321" spans="1:16" ht="25.5">
      <c r="A321" s="177">
        <v>305</v>
      </c>
      <c r="B321" s="326">
        <v>100</v>
      </c>
      <c r="C321" s="326">
        <v>750</v>
      </c>
      <c r="D321" s="326">
        <v>300</v>
      </c>
      <c r="E321" s="326">
        <v>30</v>
      </c>
      <c r="F321" s="326">
        <v>0</v>
      </c>
      <c r="G321" s="331" t="s">
        <v>2639</v>
      </c>
      <c r="H321" s="331" t="s">
        <v>894</v>
      </c>
      <c r="I321" s="326" t="s">
        <v>895</v>
      </c>
      <c r="J321" s="325"/>
      <c r="K321" s="335">
        <f t="shared" si="8"/>
        <v>0</v>
      </c>
      <c r="L321" s="335">
        <v>0</v>
      </c>
      <c r="M321" s="335"/>
      <c r="N321" s="335">
        <f t="shared" si="9"/>
        <v>0</v>
      </c>
      <c r="O321" s="335">
        <v>0</v>
      </c>
      <c r="P321" s="335"/>
    </row>
    <row r="322" spans="1:16" ht="25.5">
      <c r="A322" s="177">
        <v>305</v>
      </c>
      <c r="B322" s="326">
        <v>100</v>
      </c>
      <c r="C322" s="326">
        <v>750</v>
      </c>
      <c r="D322" s="326">
        <v>300</v>
      </c>
      <c r="E322" s="326">
        <v>30</v>
      </c>
      <c r="F322" s="326">
        <v>5</v>
      </c>
      <c r="G322" s="330" t="s">
        <v>2640</v>
      </c>
      <c r="H322" s="330" t="s">
        <v>896</v>
      </c>
      <c r="I322" s="326"/>
      <c r="J322" s="326"/>
      <c r="K322" s="334">
        <f t="shared" si="8"/>
        <v>151056.72</v>
      </c>
      <c r="L322" s="334">
        <v>151056.72</v>
      </c>
      <c r="M322" s="334"/>
      <c r="N322" s="334">
        <f t="shared" si="9"/>
        <v>194606.66</v>
      </c>
      <c r="O322" s="334">
        <v>194606.66</v>
      </c>
      <c r="P322" s="334"/>
    </row>
    <row r="323" spans="1:16">
      <c r="A323" s="177">
        <v>305</v>
      </c>
      <c r="B323" s="326">
        <v>100</v>
      </c>
      <c r="C323" s="326">
        <v>750</v>
      </c>
      <c r="D323" s="326">
        <v>300</v>
      </c>
      <c r="E323" s="326">
        <v>30</v>
      </c>
      <c r="F323" s="326">
        <v>10</v>
      </c>
      <c r="G323" s="330" t="s">
        <v>2641</v>
      </c>
      <c r="H323" s="330" t="s">
        <v>897</v>
      </c>
      <c r="I323" s="326"/>
      <c r="J323" s="326"/>
      <c r="K323" s="334">
        <f t="shared" si="8"/>
        <v>0</v>
      </c>
      <c r="L323" s="334">
        <v>0</v>
      </c>
      <c r="M323" s="334"/>
      <c r="N323" s="334">
        <f t="shared" si="9"/>
        <v>0</v>
      </c>
      <c r="O323" s="334">
        <v>0</v>
      </c>
      <c r="P323" s="334"/>
    </row>
    <row r="324" spans="1:16">
      <c r="A324" s="177">
        <v>305</v>
      </c>
      <c r="B324" s="326">
        <v>100</v>
      </c>
      <c r="C324" s="326">
        <v>750</v>
      </c>
      <c r="D324" s="326">
        <v>300</v>
      </c>
      <c r="E324" s="326">
        <v>30</v>
      </c>
      <c r="F324" s="326">
        <v>15</v>
      </c>
      <c r="G324" s="330" t="s">
        <v>2642</v>
      </c>
      <c r="H324" s="330" t="s">
        <v>898</v>
      </c>
      <c r="I324" s="326"/>
      <c r="J324" s="326"/>
      <c r="K324" s="334">
        <f t="shared" si="8"/>
        <v>0</v>
      </c>
      <c r="L324" s="334">
        <v>0</v>
      </c>
      <c r="M324" s="334"/>
      <c r="N324" s="334">
        <f t="shared" si="9"/>
        <v>0</v>
      </c>
      <c r="O324" s="334">
        <v>0</v>
      </c>
      <c r="P324" s="334"/>
    </row>
    <row r="325" spans="1:16">
      <c r="A325" s="177">
        <v>305</v>
      </c>
      <c r="B325" s="326">
        <v>100</v>
      </c>
      <c r="C325" s="326">
        <v>750</v>
      </c>
      <c r="D325" s="326">
        <v>300</v>
      </c>
      <c r="E325" s="326">
        <v>30</v>
      </c>
      <c r="F325" s="326">
        <v>20</v>
      </c>
      <c r="G325" s="330" t="s">
        <v>2643</v>
      </c>
      <c r="H325" s="330" t="s">
        <v>899</v>
      </c>
      <c r="I325" s="326"/>
      <c r="J325" s="326"/>
      <c r="K325" s="334">
        <f t="shared" si="8"/>
        <v>16858.009999999998</v>
      </c>
      <c r="L325" s="334">
        <v>16858.009999999998</v>
      </c>
      <c r="M325" s="334"/>
      <c r="N325" s="334">
        <f t="shared" si="9"/>
        <v>36315.78</v>
      </c>
      <c r="O325" s="334">
        <v>36315.78</v>
      </c>
      <c r="P325" s="334"/>
    </row>
    <row r="326" spans="1:16">
      <c r="A326" s="177">
        <v>305</v>
      </c>
      <c r="B326" s="326">
        <v>100</v>
      </c>
      <c r="C326" s="326">
        <v>750</v>
      </c>
      <c r="D326" s="326">
        <v>300</v>
      </c>
      <c r="E326" s="326">
        <v>40</v>
      </c>
      <c r="F326" s="326">
        <v>0</v>
      </c>
      <c r="G326" s="331" t="s">
        <v>2644</v>
      </c>
      <c r="H326" s="331" t="s">
        <v>900</v>
      </c>
      <c r="I326" s="326" t="s">
        <v>901</v>
      </c>
      <c r="J326" s="325"/>
      <c r="K326" s="335">
        <f t="shared" si="8"/>
        <v>0</v>
      </c>
      <c r="L326" s="335">
        <v>0</v>
      </c>
      <c r="M326" s="335"/>
      <c r="N326" s="335">
        <f t="shared" si="9"/>
        <v>0</v>
      </c>
      <c r="O326" s="335">
        <v>0</v>
      </c>
      <c r="P326" s="335"/>
    </row>
    <row r="327" spans="1:16">
      <c r="A327" s="177">
        <v>305</v>
      </c>
      <c r="B327" s="326">
        <v>100</v>
      </c>
      <c r="C327" s="326">
        <v>750</v>
      </c>
      <c r="D327" s="326">
        <v>300</v>
      </c>
      <c r="E327" s="326">
        <v>40</v>
      </c>
      <c r="F327" s="326">
        <v>5</v>
      </c>
      <c r="G327" s="330" t="s">
        <v>2645</v>
      </c>
      <c r="H327" s="330" t="s">
        <v>902</v>
      </c>
      <c r="I327" s="326"/>
      <c r="J327" s="326"/>
      <c r="K327" s="334">
        <f t="shared" ref="K327:K390" si="10">+L327+M327</f>
        <v>741852.17</v>
      </c>
      <c r="L327" s="334">
        <v>741852.17</v>
      </c>
      <c r="M327" s="334"/>
      <c r="N327" s="334">
        <f t="shared" ref="N327:N390" si="11">+O327+P327</f>
        <v>640243.54</v>
      </c>
      <c r="O327" s="334">
        <v>640243.54</v>
      </c>
      <c r="P327" s="334"/>
    </row>
    <row r="328" spans="1:16">
      <c r="A328" s="177">
        <v>305</v>
      </c>
      <c r="B328" s="326">
        <v>100</v>
      </c>
      <c r="C328" s="326">
        <v>750</v>
      </c>
      <c r="D328" s="326">
        <v>300</v>
      </c>
      <c r="E328" s="326">
        <v>40</v>
      </c>
      <c r="F328" s="326">
        <v>10</v>
      </c>
      <c r="G328" s="330" t="s">
        <v>2646</v>
      </c>
      <c r="H328" s="330" t="s">
        <v>634</v>
      </c>
      <c r="I328" s="338"/>
      <c r="J328" s="338"/>
      <c r="K328" s="334">
        <f t="shared" si="10"/>
        <v>287185.46000000002</v>
      </c>
      <c r="L328" s="334">
        <v>287185.46000000002</v>
      </c>
      <c r="M328" s="334"/>
      <c r="N328" s="334">
        <f t="shared" si="11"/>
        <v>258222.1</v>
      </c>
      <c r="O328" s="334">
        <v>258222.1</v>
      </c>
      <c r="P328" s="334"/>
    </row>
    <row r="329" spans="1:16" ht="25.5">
      <c r="A329" s="177">
        <v>305</v>
      </c>
      <c r="B329" s="326">
        <v>100</v>
      </c>
      <c r="C329" s="326">
        <v>750</v>
      </c>
      <c r="D329" s="326">
        <v>300</v>
      </c>
      <c r="E329" s="326">
        <v>40</v>
      </c>
      <c r="F329" s="326">
        <v>15</v>
      </c>
      <c r="G329" s="330" t="s">
        <v>2252</v>
      </c>
      <c r="H329" s="330" t="s">
        <v>2253</v>
      </c>
      <c r="I329" s="326"/>
      <c r="J329" s="326"/>
      <c r="K329" s="334">
        <f t="shared" si="10"/>
        <v>0</v>
      </c>
      <c r="L329" s="334">
        <v>0</v>
      </c>
      <c r="M329" s="334"/>
      <c r="N329" s="334">
        <f t="shared" si="11"/>
        <v>0</v>
      </c>
      <c r="O329" s="334">
        <v>0</v>
      </c>
      <c r="P329" s="334"/>
    </row>
    <row r="330" spans="1:16">
      <c r="A330" s="177">
        <v>305</v>
      </c>
      <c r="B330" s="326">
        <v>100</v>
      </c>
      <c r="C330" s="326">
        <v>750</v>
      </c>
      <c r="D330" s="326">
        <v>300</v>
      </c>
      <c r="E330" s="326">
        <v>40</v>
      </c>
      <c r="F330" s="326">
        <v>20</v>
      </c>
      <c r="G330" s="330" t="s">
        <v>2254</v>
      </c>
      <c r="H330" s="330" t="s">
        <v>1111</v>
      </c>
      <c r="I330" s="326"/>
      <c r="J330" s="326"/>
      <c r="K330" s="334">
        <f t="shared" si="10"/>
        <v>0</v>
      </c>
      <c r="L330" s="334">
        <v>0</v>
      </c>
      <c r="M330" s="334"/>
      <c r="N330" s="334">
        <f t="shared" si="11"/>
        <v>0</v>
      </c>
      <c r="O330" s="334">
        <v>0</v>
      </c>
      <c r="P330" s="334"/>
    </row>
    <row r="331" spans="1:16">
      <c r="A331" s="177">
        <v>305</v>
      </c>
      <c r="B331" s="326">
        <v>100</v>
      </c>
      <c r="C331" s="326">
        <v>750</v>
      </c>
      <c r="D331" s="326">
        <v>300</v>
      </c>
      <c r="E331" s="326">
        <v>40</v>
      </c>
      <c r="F331" s="326">
        <v>25</v>
      </c>
      <c r="G331" s="330" t="s">
        <v>2255</v>
      </c>
      <c r="H331" s="330" t="s">
        <v>1111</v>
      </c>
      <c r="I331" s="326"/>
      <c r="J331" s="326"/>
      <c r="K331" s="334">
        <f t="shared" si="10"/>
        <v>0</v>
      </c>
      <c r="L331" s="334">
        <v>0</v>
      </c>
      <c r="M331" s="334"/>
      <c r="N331" s="334">
        <f t="shared" si="11"/>
        <v>0</v>
      </c>
      <c r="O331" s="334">
        <v>0</v>
      </c>
      <c r="P331" s="334"/>
    </row>
    <row r="332" spans="1:16" ht="25.5">
      <c r="A332" s="177">
        <v>305</v>
      </c>
      <c r="B332" s="326">
        <v>100</v>
      </c>
      <c r="C332" s="326">
        <v>750</v>
      </c>
      <c r="D332" s="326">
        <v>300</v>
      </c>
      <c r="E332" s="326">
        <v>40</v>
      </c>
      <c r="F332" s="326">
        <v>30</v>
      </c>
      <c r="G332" s="330" t="s">
        <v>2256</v>
      </c>
      <c r="H332" s="330" t="s">
        <v>1114</v>
      </c>
      <c r="I332" s="326"/>
      <c r="J332" s="326"/>
      <c r="K332" s="334">
        <f t="shared" si="10"/>
        <v>0</v>
      </c>
      <c r="L332" s="334">
        <v>0</v>
      </c>
      <c r="M332" s="334"/>
      <c r="N332" s="334">
        <f t="shared" si="11"/>
        <v>0</v>
      </c>
      <c r="O332" s="334">
        <v>0</v>
      </c>
      <c r="P332" s="334"/>
    </row>
    <row r="333" spans="1:16" ht="25.5">
      <c r="A333" s="177">
        <v>305</v>
      </c>
      <c r="B333" s="326">
        <v>100</v>
      </c>
      <c r="C333" s="326">
        <v>750</v>
      </c>
      <c r="D333" s="326">
        <v>300</v>
      </c>
      <c r="E333" s="326">
        <v>40</v>
      </c>
      <c r="F333" s="326">
        <v>35</v>
      </c>
      <c r="G333" s="330" t="s">
        <v>2257</v>
      </c>
      <c r="H333" s="330" t="s">
        <v>1114</v>
      </c>
      <c r="I333" s="326"/>
      <c r="J333" s="326"/>
      <c r="K333" s="334">
        <f t="shared" si="10"/>
        <v>0</v>
      </c>
      <c r="L333" s="334">
        <v>0</v>
      </c>
      <c r="M333" s="334"/>
      <c r="N333" s="334">
        <f t="shared" si="11"/>
        <v>0</v>
      </c>
      <c r="O333" s="334">
        <v>0</v>
      </c>
      <c r="P333" s="334"/>
    </row>
    <row r="334" spans="1:16">
      <c r="A334" s="177">
        <v>305</v>
      </c>
      <c r="B334" s="326">
        <v>100</v>
      </c>
      <c r="C334" s="326">
        <v>750</v>
      </c>
      <c r="D334" s="326">
        <v>300</v>
      </c>
      <c r="E334" s="326">
        <v>40</v>
      </c>
      <c r="F334" s="326">
        <v>40</v>
      </c>
      <c r="G334" s="330" t="s">
        <v>2258</v>
      </c>
      <c r="H334" s="330" t="s">
        <v>1119</v>
      </c>
      <c r="I334" s="326"/>
      <c r="J334" s="326"/>
      <c r="K334" s="334">
        <f t="shared" si="10"/>
        <v>0</v>
      </c>
      <c r="L334" s="334">
        <v>0</v>
      </c>
      <c r="M334" s="334"/>
      <c r="N334" s="334">
        <f t="shared" si="11"/>
        <v>0</v>
      </c>
      <c r="O334" s="334">
        <v>0</v>
      </c>
      <c r="P334" s="334"/>
    </row>
    <row r="335" spans="1:16">
      <c r="A335" s="177">
        <v>305</v>
      </c>
      <c r="B335" s="326">
        <v>100</v>
      </c>
      <c r="C335" s="326">
        <v>750</v>
      </c>
      <c r="D335" s="326">
        <v>300</v>
      </c>
      <c r="E335" s="326">
        <v>40</v>
      </c>
      <c r="F335" s="326">
        <v>45</v>
      </c>
      <c r="G335" s="330" t="s">
        <v>2259</v>
      </c>
      <c r="H335" s="330" t="s">
        <v>1119</v>
      </c>
      <c r="I335" s="326"/>
      <c r="J335" s="326"/>
      <c r="K335" s="334">
        <f t="shared" si="10"/>
        <v>0</v>
      </c>
      <c r="L335" s="334">
        <v>0</v>
      </c>
      <c r="M335" s="334"/>
      <c r="N335" s="334">
        <f t="shared" si="11"/>
        <v>0</v>
      </c>
      <c r="O335" s="334">
        <v>0</v>
      </c>
      <c r="P335" s="334"/>
    </row>
    <row r="336" spans="1:16">
      <c r="A336" s="177">
        <v>305</v>
      </c>
      <c r="B336" s="326">
        <v>100</v>
      </c>
      <c r="C336" s="326">
        <v>750</v>
      </c>
      <c r="D336" s="326">
        <v>300</v>
      </c>
      <c r="E336" s="326">
        <v>40</v>
      </c>
      <c r="F336" s="326">
        <v>50</v>
      </c>
      <c r="G336" s="330" t="s">
        <v>2260</v>
      </c>
      <c r="H336" s="330" t="s">
        <v>1122</v>
      </c>
      <c r="I336" s="326"/>
      <c r="J336" s="326"/>
      <c r="K336" s="334">
        <f t="shared" si="10"/>
        <v>0</v>
      </c>
      <c r="L336" s="334">
        <v>0</v>
      </c>
      <c r="M336" s="334"/>
      <c r="N336" s="334">
        <f t="shared" si="11"/>
        <v>0</v>
      </c>
      <c r="O336" s="334">
        <v>0</v>
      </c>
      <c r="P336" s="334"/>
    </row>
    <row r="337" spans="1:16">
      <c r="A337" s="177">
        <v>305</v>
      </c>
      <c r="B337" s="326">
        <v>100</v>
      </c>
      <c r="C337" s="326">
        <v>750</v>
      </c>
      <c r="D337" s="326">
        <v>300</v>
      </c>
      <c r="E337" s="326">
        <v>40</v>
      </c>
      <c r="F337" s="326">
        <v>55</v>
      </c>
      <c r="G337" s="330" t="s">
        <v>2261</v>
      </c>
      <c r="H337" s="330" t="s">
        <v>1122</v>
      </c>
      <c r="I337" s="326"/>
      <c r="J337" s="326"/>
      <c r="K337" s="334">
        <f t="shared" si="10"/>
        <v>0</v>
      </c>
      <c r="L337" s="334">
        <v>0</v>
      </c>
      <c r="M337" s="334"/>
      <c r="N337" s="334">
        <f t="shared" si="11"/>
        <v>0</v>
      </c>
      <c r="O337" s="334">
        <v>0</v>
      </c>
      <c r="P337" s="334"/>
    </row>
    <row r="338" spans="1:16">
      <c r="A338" s="177">
        <v>305</v>
      </c>
      <c r="B338" s="326">
        <v>100</v>
      </c>
      <c r="C338" s="326">
        <v>750</v>
      </c>
      <c r="D338" s="326">
        <v>300</v>
      </c>
      <c r="E338" s="326">
        <v>50</v>
      </c>
      <c r="F338" s="326">
        <v>0</v>
      </c>
      <c r="G338" s="330" t="s">
        <v>2647</v>
      </c>
      <c r="H338" s="330" t="s">
        <v>903</v>
      </c>
      <c r="I338" s="326" t="s">
        <v>904</v>
      </c>
      <c r="J338" s="326"/>
      <c r="K338" s="334">
        <f t="shared" si="10"/>
        <v>45029.78</v>
      </c>
      <c r="L338" s="334">
        <v>45029.78</v>
      </c>
      <c r="M338" s="334"/>
      <c r="N338" s="334">
        <f t="shared" si="11"/>
        <v>39104.99</v>
      </c>
      <c r="O338" s="334">
        <v>39104.99</v>
      </c>
      <c r="P338" s="334"/>
    </row>
    <row r="339" spans="1:16">
      <c r="A339" s="177">
        <v>305</v>
      </c>
      <c r="B339" s="326">
        <v>100</v>
      </c>
      <c r="C339" s="326">
        <v>750</v>
      </c>
      <c r="D339" s="326">
        <v>300</v>
      </c>
      <c r="E339" s="326">
        <v>60</v>
      </c>
      <c r="F339" s="326">
        <v>0</v>
      </c>
      <c r="G339" s="331" t="s">
        <v>2648</v>
      </c>
      <c r="H339" s="331" t="s">
        <v>905</v>
      </c>
      <c r="I339" s="326" t="s">
        <v>906</v>
      </c>
      <c r="J339" s="325"/>
      <c r="K339" s="335">
        <f t="shared" si="10"/>
        <v>0</v>
      </c>
      <c r="L339" s="335">
        <v>0</v>
      </c>
      <c r="M339" s="335"/>
      <c r="N339" s="335">
        <f t="shared" si="11"/>
        <v>0</v>
      </c>
      <c r="O339" s="335">
        <v>0</v>
      </c>
      <c r="P339" s="335"/>
    </row>
    <row r="340" spans="1:16">
      <c r="A340" s="177">
        <v>305</v>
      </c>
      <c r="B340" s="326">
        <v>100</v>
      </c>
      <c r="C340" s="326">
        <v>750</v>
      </c>
      <c r="D340" s="326">
        <v>300</v>
      </c>
      <c r="E340" s="326">
        <v>60</v>
      </c>
      <c r="F340" s="326">
        <v>5</v>
      </c>
      <c r="G340" s="330" t="s">
        <v>2649</v>
      </c>
      <c r="H340" s="330" t="s">
        <v>907</v>
      </c>
      <c r="I340" s="326"/>
      <c r="J340" s="326"/>
      <c r="K340" s="334">
        <f t="shared" si="10"/>
        <v>0</v>
      </c>
      <c r="L340" s="334">
        <v>0</v>
      </c>
      <c r="M340" s="334"/>
      <c r="N340" s="334">
        <f t="shared" si="11"/>
        <v>0</v>
      </c>
      <c r="O340" s="334">
        <v>0</v>
      </c>
      <c r="P340" s="334"/>
    </row>
    <row r="341" spans="1:16">
      <c r="A341" s="177">
        <v>305</v>
      </c>
      <c r="B341" s="326">
        <v>100</v>
      </c>
      <c r="C341" s="326">
        <v>750</v>
      </c>
      <c r="D341" s="326">
        <v>300</v>
      </c>
      <c r="E341" s="326">
        <v>60</v>
      </c>
      <c r="F341" s="326">
        <v>10</v>
      </c>
      <c r="G341" s="330" t="s">
        <v>2650</v>
      </c>
      <c r="H341" s="330" t="s">
        <v>908</v>
      </c>
      <c r="I341" s="326"/>
      <c r="J341" s="326"/>
      <c r="K341" s="334">
        <f t="shared" si="10"/>
        <v>0</v>
      </c>
      <c r="L341" s="334">
        <v>0</v>
      </c>
      <c r="M341" s="334"/>
      <c r="N341" s="334">
        <f t="shared" si="11"/>
        <v>0</v>
      </c>
      <c r="O341" s="334">
        <v>0</v>
      </c>
      <c r="P341" s="334"/>
    </row>
    <row r="342" spans="1:16">
      <c r="A342" s="177">
        <v>305</v>
      </c>
      <c r="B342" s="326">
        <v>100</v>
      </c>
      <c r="C342" s="326">
        <v>750</v>
      </c>
      <c r="D342" s="326">
        <v>300</v>
      </c>
      <c r="E342" s="326">
        <v>60</v>
      </c>
      <c r="F342" s="326">
        <v>15</v>
      </c>
      <c r="G342" s="330" t="s">
        <v>2651</v>
      </c>
      <c r="H342" s="330" t="s">
        <v>909</v>
      </c>
      <c r="I342" s="326"/>
      <c r="J342" s="326"/>
      <c r="K342" s="334">
        <f t="shared" si="10"/>
        <v>1092503.17</v>
      </c>
      <c r="L342" s="334">
        <v>1092503.17</v>
      </c>
      <c r="M342" s="334"/>
      <c r="N342" s="334">
        <f t="shared" si="11"/>
        <v>975302.61</v>
      </c>
      <c r="O342" s="334">
        <v>975302.61</v>
      </c>
      <c r="P342" s="334"/>
    </row>
    <row r="343" spans="1:16">
      <c r="A343" s="177">
        <v>305</v>
      </c>
      <c r="B343" s="326">
        <v>100</v>
      </c>
      <c r="C343" s="326">
        <v>750</v>
      </c>
      <c r="D343" s="326">
        <v>300</v>
      </c>
      <c r="E343" s="326">
        <v>60</v>
      </c>
      <c r="F343" s="326">
        <v>20</v>
      </c>
      <c r="G343" s="330" t="s">
        <v>2652</v>
      </c>
      <c r="H343" s="330" t="s">
        <v>910</v>
      </c>
      <c r="I343" s="326"/>
      <c r="J343" s="326"/>
      <c r="K343" s="334">
        <f t="shared" si="10"/>
        <v>634977.25</v>
      </c>
      <c r="L343" s="334">
        <v>634977.25</v>
      </c>
      <c r="M343" s="334"/>
      <c r="N343" s="334">
        <f t="shared" si="11"/>
        <v>457341.85</v>
      </c>
      <c r="O343" s="334">
        <v>457341.85</v>
      </c>
      <c r="P343" s="334"/>
    </row>
    <row r="344" spans="1:16">
      <c r="A344" s="177">
        <v>305</v>
      </c>
      <c r="B344" s="326">
        <v>100</v>
      </c>
      <c r="C344" s="326">
        <v>750</v>
      </c>
      <c r="D344" s="326">
        <v>300</v>
      </c>
      <c r="E344" s="326">
        <v>60</v>
      </c>
      <c r="F344" s="326">
        <v>25</v>
      </c>
      <c r="G344" s="330" t="s">
        <v>2653</v>
      </c>
      <c r="H344" s="330" t="s">
        <v>911</v>
      </c>
      <c r="I344" s="326"/>
      <c r="J344" s="326"/>
      <c r="K344" s="334">
        <f t="shared" si="10"/>
        <v>0</v>
      </c>
      <c r="L344" s="334">
        <v>0</v>
      </c>
      <c r="M344" s="334"/>
      <c r="N344" s="334">
        <f t="shared" si="11"/>
        <v>4300</v>
      </c>
      <c r="O344" s="334">
        <v>4300</v>
      </c>
      <c r="P344" s="334"/>
    </row>
    <row r="345" spans="1:16">
      <c r="A345" s="177">
        <v>305</v>
      </c>
      <c r="B345" s="326">
        <v>100</v>
      </c>
      <c r="C345" s="326">
        <v>750</v>
      </c>
      <c r="D345" s="326">
        <v>300</v>
      </c>
      <c r="E345" s="326">
        <v>60</v>
      </c>
      <c r="F345" s="326">
        <v>30</v>
      </c>
      <c r="G345" s="330" t="s">
        <v>2654</v>
      </c>
      <c r="H345" s="330" t="s">
        <v>912</v>
      </c>
      <c r="I345" s="326"/>
      <c r="J345" s="326"/>
      <c r="K345" s="334">
        <f t="shared" si="10"/>
        <v>84639.039999999994</v>
      </c>
      <c r="L345" s="334">
        <v>84639.039999999994</v>
      </c>
      <c r="M345" s="334"/>
      <c r="N345" s="334">
        <f t="shared" si="11"/>
        <v>102753.09</v>
      </c>
      <c r="O345" s="334">
        <v>102753.09</v>
      </c>
      <c r="P345" s="334"/>
    </row>
    <row r="346" spans="1:16">
      <c r="A346" s="177">
        <v>305</v>
      </c>
      <c r="B346" s="326">
        <v>100</v>
      </c>
      <c r="C346" s="326">
        <v>750</v>
      </c>
      <c r="D346" s="326">
        <v>300</v>
      </c>
      <c r="E346" s="326">
        <v>60</v>
      </c>
      <c r="F346" s="326">
        <v>35</v>
      </c>
      <c r="G346" s="330" t="s">
        <v>2655</v>
      </c>
      <c r="H346" s="330" t="s">
        <v>913</v>
      </c>
      <c r="I346" s="326"/>
      <c r="J346" s="326"/>
      <c r="K346" s="334">
        <f t="shared" si="10"/>
        <v>0</v>
      </c>
      <c r="L346" s="334">
        <v>0</v>
      </c>
      <c r="M346" s="334"/>
      <c r="N346" s="334">
        <f t="shared" si="11"/>
        <v>0</v>
      </c>
      <c r="O346" s="334">
        <v>0</v>
      </c>
      <c r="P346" s="334"/>
    </row>
    <row r="347" spans="1:16" ht="25.5">
      <c r="A347" s="177">
        <v>305</v>
      </c>
      <c r="B347" s="326">
        <v>100</v>
      </c>
      <c r="C347" s="326">
        <v>750</v>
      </c>
      <c r="D347" s="326">
        <v>300</v>
      </c>
      <c r="E347" s="326">
        <v>60</v>
      </c>
      <c r="F347" s="326">
        <v>40</v>
      </c>
      <c r="G347" s="330" t="s">
        <v>2656</v>
      </c>
      <c r="H347" s="330" t="s">
        <v>914</v>
      </c>
      <c r="I347" s="326"/>
      <c r="J347" s="326"/>
      <c r="K347" s="334">
        <f t="shared" si="10"/>
        <v>0</v>
      </c>
      <c r="L347" s="334">
        <v>0</v>
      </c>
      <c r="M347" s="334"/>
      <c r="N347" s="334">
        <f t="shared" si="11"/>
        <v>0</v>
      </c>
      <c r="O347" s="334">
        <v>0</v>
      </c>
      <c r="P347" s="334"/>
    </row>
    <row r="348" spans="1:16" ht="25.5">
      <c r="A348" s="177">
        <v>305</v>
      </c>
      <c r="B348" s="326">
        <v>100</v>
      </c>
      <c r="C348" s="326">
        <v>750</v>
      </c>
      <c r="D348" s="326">
        <v>300</v>
      </c>
      <c r="E348" s="326">
        <v>60</v>
      </c>
      <c r="F348" s="326">
        <v>90</v>
      </c>
      <c r="G348" s="330" t="s">
        <v>2657</v>
      </c>
      <c r="H348" s="330" t="s">
        <v>915</v>
      </c>
      <c r="I348" s="326"/>
      <c r="J348" s="326"/>
      <c r="K348" s="334">
        <f t="shared" si="10"/>
        <v>22435.52</v>
      </c>
      <c r="L348" s="334">
        <v>22435.52</v>
      </c>
      <c r="M348" s="334"/>
      <c r="N348" s="334">
        <f t="shared" si="11"/>
        <v>28502.86</v>
      </c>
      <c r="O348" s="334">
        <v>28502.86</v>
      </c>
      <c r="P348" s="334"/>
    </row>
    <row r="349" spans="1:16" ht="25.5">
      <c r="A349" s="177">
        <v>305</v>
      </c>
      <c r="B349" s="326">
        <v>100</v>
      </c>
      <c r="C349" s="326">
        <v>750</v>
      </c>
      <c r="D349" s="326">
        <v>400</v>
      </c>
      <c r="E349" s="326">
        <v>0</v>
      </c>
      <c r="F349" s="326">
        <v>0</v>
      </c>
      <c r="G349" s="331" t="s">
        <v>2658</v>
      </c>
      <c r="H349" s="331" t="s">
        <v>916</v>
      </c>
      <c r="I349" s="332" t="s">
        <v>917</v>
      </c>
      <c r="J349" s="333"/>
      <c r="K349" s="335">
        <f t="shared" si="10"/>
        <v>0</v>
      </c>
      <c r="L349" s="335">
        <v>0</v>
      </c>
      <c r="M349" s="335"/>
      <c r="N349" s="335">
        <f t="shared" si="11"/>
        <v>0</v>
      </c>
      <c r="O349" s="335">
        <v>0</v>
      </c>
      <c r="P349" s="335"/>
    </row>
    <row r="350" spans="1:16" ht="38.25">
      <c r="A350" s="177">
        <v>305</v>
      </c>
      <c r="B350" s="326">
        <v>100</v>
      </c>
      <c r="C350" s="326">
        <v>750</v>
      </c>
      <c r="D350" s="326">
        <v>400</v>
      </c>
      <c r="E350" s="326">
        <v>10</v>
      </c>
      <c r="F350" s="326">
        <v>0</v>
      </c>
      <c r="G350" s="330" t="s">
        <v>2659</v>
      </c>
      <c r="H350" s="330" t="s">
        <v>918</v>
      </c>
      <c r="I350" s="332" t="s">
        <v>919</v>
      </c>
      <c r="J350" s="332" t="s">
        <v>1529</v>
      </c>
      <c r="K350" s="334">
        <f t="shared" si="10"/>
        <v>0</v>
      </c>
      <c r="L350" s="334">
        <v>0</v>
      </c>
      <c r="M350" s="334"/>
      <c r="N350" s="334">
        <f t="shared" si="11"/>
        <v>0</v>
      </c>
      <c r="O350" s="334">
        <v>0</v>
      </c>
      <c r="P350" s="334"/>
    </row>
    <row r="351" spans="1:16" ht="25.5">
      <c r="A351" s="177">
        <v>305</v>
      </c>
      <c r="B351" s="326">
        <v>100</v>
      </c>
      <c r="C351" s="326">
        <v>750</v>
      </c>
      <c r="D351" s="326">
        <v>400</v>
      </c>
      <c r="E351" s="326">
        <v>20</v>
      </c>
      <c r="F351" s="326">
        <v>0</v>
      </c>
      <c r="G351" s="330" t="s">
        <v>2660</v>
      </c>
      <c r="H351" s="330" t="s">
        <v>920</v>
      </c>
      <c r="I351" s="326" t="s">
        <v>921</v>
      </c>
      <c r="J351" s="326"/>
      <c r="K351" s="334">
        <f t="shared" si="10"/>
        <v>0</v>
      </c>
      <c r="L351" s="334">
        <v>0</v>
      </c>
      <c r="M351" s="334"/>
      <c r="N351" s="334">
        <f t="shared" si="11"/>
        <v>0</v>
      </c>
      <c r="O351" s="334">
        <v>0</v>
      </c>
      <c r="P351" s="334"/>
    </row>
    <row r="352" spans="1:16" ht="25.5">
      <c r="A352" s="177">
        <v>305</v>
      </c>
      <c r="B352" s="326">
        <v>100</v>
      </c>
      <c r="C352" s="326">
        <v>750</v>
      </c>
      <c r="D352" s="326">
        <v>400</v>
      </c>
      <c r="E352" s="326">
        <v>30</v>
      </c>
      <c r="F352" s="326">
        <v>0</v>
      </c>
      <c r="G352" s="330" t="s">
        <v>2661</v>
      </c>
      <c r="H352" s="330" t="s">
        <v>922</v>
      </c>
      <c r="I352" s="326" t="s">
        <v>923</v>
      </c>
      <c r="J352" s="326" t="s">
        <v>1578</v>
      </c>
      <c r="K352" s="334">
        <f t="shared" si="10"/>
        <v>5650.88</v>
      </c>
      <c r="L352" s="334">
        <v>5650.88</v>
      </c>
      <c r="M352" s="334"/>
      <c r="N352" s="334">
        <f t="shared" si="11"/>
        <v>33812.230000000003</v>
      </c>
      <c r="O352" s="334">
        <v>33812.230000000003</v>
      </c>
      <c r="P352" s="334"/>
    </row>
    <row r="353" spans="1:16">
      <c r="A353" s="177">
        <v>305</v>
      </c>
      <c r="B353" s="326">
        <v>100</v>
      </c>
      <c r="C353" s="326">
        <v>800</v>
      </c>
      <c r="D353" s="326">
        <v>0</v>
      </c>
      <c r="E353" s="326">
        <v>0</v>
      </c>
      <c r="F353" s="326">
        <v>0</v>
      </c>
      <c r="G353" s="331" t="s">
        <v>2662</v>
      </c>
      <c r="H353" s="331" t="s">
        <v>924</v>
      </c>
      <c r="I353" s="332" t="s">
        <v>925</v>
      </c>
      <c r="J353" s="333"/>
      <c r="K353" s="335">
        <f t="shared" si="10"/>
        <v>0</v>
      </c>
      <c r="L353" s="335">
        <v>0</v>
      </c>
      <c r="M353" s="335"/>
      <c r="N353" s="335">
        <f t="shared" si="11"/>
        <v>0</v>
      </c>
      <c r="O353" s="335">
        <v>0</v>
      </c>
      <c r="P353" s="335"/>
    </row>
    <row r="354" spans="1:16" ht="38.25">
      <c r="A354" s="177">
        <v>305</v>
      </c>
      <c r="B354" s="326">
        <v>100</v>
      </c>
      <c r="C354" s="326">
        <v>800</v>
      </c>
      <c r="D354" s="326">
        <v>100</v>
      </c>
      <c r="E354" s="326">
        <v>0</v>
      </c>
      <c r="F354" s="326">
        <v>0</v>
      </c>
      <c r="G354" s="330" t="s">
        <v>2663</v>
      </c>
      <c r="H354" s="330" t="s">
        <v>926</v>
      </c>
      <c r="I354" s="332" t="s">
        <v>927</v>
      </c>
      <c r="J354" s="332" t="s">
        <v>1529</v>
      </c>
      <c r="K354" s="334">
        <f t="shared" si="10"/>
        <v>0</v>
      </c>
      <c r="L354" s="334">
        <v>0</v>
      </c>
      <c r="M354" s="334"/>
      <c r="N354" s="334">
        <f t="shared" si="11"/>
        <v>0</v>
      </c>
      <c r="O354" s="334">
        <v>0</v>
      </c>
      <c r="P354" s="334"/>
    </row>
    <row r="355" spans="1:16" ht="38.25">
      <c r="A355" s="177">
        <v>305</v>
      </c>
      <c r="B355" s="326">
        <v>100</v>
      </c>
      <c r="C355" s="326">
        <v>800</v>
      </c>
      <c r="D355" s="326">
        <v>200</v>
      </c>
      <c r="E355" s="326">
        <v>0</v>
      </c>
      <c r="F355" s="326">
        <v>0</v>
      </c>
      <c r="G355" s="330" t="s">
        <v>2664</v>
      </c>
      <c r="H355" s="330" t="s">
        <v>928</v>
      </c>
      <c r="I355" s="326" t="s">
        <v>929</v>
      </c>
      <c r="J355" s="326"/>
      <c r="K355" s="334">
        <f t="shared" si="10"/>
        <v>0</v>
      </c>
      <c r="L355" s="334">
        <v>0</v>
      </c>
      <c r="M355" s="334"/>
      <c r="N355" s="334">
        <f t="shared" si="11"/>
        <v>0</v>
      </c>
      <c r="O355" s="334">
        <v>0</v>
      </c>
      <c r="P355" s="334"/>
    </row>
    <row r="356" spans="1:16" ht="25.5">
      <c r="A356" s="177">
        <v>305</v>
      </c>
      <c r="B356" s="326">
        <v>100</v>
      </c>
      <c r="C356" s="326">
        <v>800</v>
      </c>
      <c r="D356" s="326">
        <v>300</v>
      </c>
      <c r="E356" s="326">
        <v>0</v>
      </c>
      <c r="F356" s="326">
        <v>0</v>
      </c>
      <c r="G356" s="330" t="s">
        <v>2665</v>
      </c>
      <c r="H356" s="330" t="s">
        <v>930</v>
      </c>
      <c r="I356" s="326" t="s">
        <v>931</v>
      </c>
      <c r="J356" s="326" t="s">
        <v>1578</v>
      </c>
      <c r="K356" s="334">
        <f t="shared" si="10"/>
        <v>0</v>
      </c>
      <c r="L356" s="334">
        <v>0</v>
      </c>
      <c r="M356" s="334"/>
      <c r="N356" s="334">
        <f t="shared" si="11"/>
        <v>0</v>
      </c>
      <c r="O356" s="334">
        <v>0</v>
      </c>
      <c r="P356" s="334"/>
    </row>
    <row r="357" spans="1:16">
      <c r="A357" s="177">
        <v>305</v>
      </c>
      <c r="B357" s="326">
        <v>100</v>
      </c>
      <c r="C357" s="326">
        <v>800</v>
      </c>
      <c r="D357" s="326">
        <v>400</v>
      </c>
      <c r="E357" s="326">
        <v>0</v>
      </c>
      <c r="F357" s="326">
        <v>0</v>
      </c>
      <c r="G357" s="331" t="s">
        <v>2666</v>
      </c>
      <c r="H357" s="331" t="s">
        <v>932</v>
      </c>
      <c r="I357" s="326" t="s">
        <v>933</v>
      </c>
      <c r="J357" s="325"/>
      <c r="K357" s="335">
        <f t="shared" si="10"/>
        <v>0</v>
      </c>
      <c r="L357" s="335">
        <v>0</v>
      </c>
      <c r="M357" s="335"/>
      <c r="N357" s="335">
        <f t="shared" si="11"/>
        <v>0</v>
      </c>
      <c r="O357" s="335">
        <v>0</v>
      </c>
      <c r="P357" s="335"/>
    </row>
    <row r="358" spans="1:16">
      <c r="A358" s="177">
        <v>305</v>
      </c>
      <c r="B358" s="326">
        <v>100</v>
      </c>
      <c r="C358" s="326">
        <v>800</v>
      </c>
      <c r="D358" s="326">
        <v>400</v>
      </c>
      <c r="E358" s="326">
        <v>10</v>
      </c>
      <c r="F358" s="326">
        <v>0</v>
      </c>
      <c r="G358" s="330" t="s">
        <v>2667</v>
      </c>
      <c r="H358" s="330" t="s">
        <v>934</v>
      </c>
      <c r="I358" s="326"/>
      <c r="J358" s="326"/>
      <c r="K358" s="334">
        <f t="shared" si="10"/>
        <v>0</v>
      </c>
      <c r="L358" s="334">
        <v>0</v>
      </c>
      <c r="M358" s="334"/>
      <c r="N358" s="334">
        <f t="shared" si="11"/>
        <v>0</v>
      </c>
      <c r="O358" s="334">
        <v>0</v>
      </c>
      <c r="P358" s="334"/>
    </row>
    <row r="359" spans="1:16">
      <c r="A359" s="177">
        <v>305</v>
      </c>
      <c r="B359" s="326">
        <v>100</v>
      </c>
      <c r="C359" s="326">
        <v>800</v>
      </c>
      <c r="D359" s="326">
        <v>400</v>
      </c>
      <c r="E359" s="326">
        <v>20</v>
      </c>
      <c r="F359" s="326">
        <v>0</v>
      </c>
      <c r="G359" s="330" t="s">
        <v>2496</v>
      </c>
      <c r="H359" s="330" t="s">
        <v>735</v>
      </c>
      <c r="I359" s="326"/>
      <c r="J359" s="326"/>
      <c r="K359" s="334">
        <f t="shared" si="10"/>
        <v>0</v>
      </c>
      <c r="L359" s="334">
        <v>0</v>
      </c>
      <c r="M359" s="334"/>
      <c r="N359" s="334">
        <f t="shared" si="11"/>
        <v>0</v>
      </c>
      <c r="O359" s="334">
        <v>0</v>
      </c>
      <c r="P359" s="334"/>
    </row>
    <row r="360" spans="1:16">
      <c r="A360" s="177">
        <v>305</v>
      </c>
      <c r="B360" s="326">
        <v>100</v>
      </c>
      <c r="C360" s="326">
        <v>800</v>
      </c>
      <c r="D360" s="326">
        <v>400</v>
      </c>
      <c r="E360" s="326">
        <v>30</v>
      </c>
      <c r="F360" s="326">
        <v>0</v>
      </c>
      <c r="G360" s="330" t="s">
        <v>2532</v>
      </c>
      <c r="H360" s="330" t="s">
        <v>3458</v>
      </c>
      <c r="I360" s="326"/>
      <c r="J360" s="326"/>
      <c r="K360" s="334">
        <f t="shared" si="10"/>
        <v>0</v>
      </c>
      <c r="L360" s="334">
        <v>0</v>
      </c>
      <c r="M360" s="334"/>
      <c r="N360" s="334">
        <f t="shared" si="11"/>
        <v>0</v>
      </c>
      <c r="O360" s="334">
        <v>0</v>
      </c>
      <c r="P360" s="334"/>
    </row>
    <row r="361" spans="1:16">
      <c r="A361" s="177">
        <v>305</v>
      </c>
      <c r="B361" s="326">
        <v>100</v>
      </c>
      <c r="C361" s="326">
        <v>800</v>
      </c>
      <c r="D361" s="326">
        <v>400</v>
      </c>
      <c r="E361" s="326">
        <v>90</v>
      </c>
      <c r="F361" s="326">
        <v>0</v>
      </c>
      <c r="G361" s="330" t="s">
        <v>2668</v>
      </c>
      <c r="H361" s="330" t="s">
        <v>932</v>
      </c>
      <c r="I361" s="326"/>
      <c r="J361" s="326"/>
      <c r="K361" s="334">
        <f t="shared" si="10"/>
        <v>585234.97</v>
      </c>
      <c r="L361" s="334">
        <v>585234.97</v>
      </c>
      <c r="M361" s="334"/>
      <c r="N361" s="334">
        <f t="shared" si="11"/>
        <v>711801.34</v>
      </c>
      <c r="O361" s="334">
        <v>711801.34</v>
      </c>
      <c r="P361" s="334"/>
    </row>
    <row r="362" spans="1:16" ht="25.5">
      <c r="A362" s="177">
        <v>305</v>
      </c>
      <c r="B362" s="326">
        <v>100</v>
      </c>
      <c r="C362" s="326">
        <v>800</v>
      </c>
      <c r="D362" s="326">
        <v>500</v>
      </c>
      <c r="E362" s="326">
        <v>0</v>
      </c>
      <c r="F362" s="326">
        <v>0</v>
      </c>
      <c r="G362" s="330" t="s">
        <v>2669</v>
      </c>
      <c r="H362" s="330" t="s">
        <v>935</v>
      </c>
      <c r="I362" s="326" t="s">
        <v>936</v>
      </c>
      <c r="J362" s="326"/>
      <c r="K362" s="334">
        <f t="shared" si="10"/>
        <v>0</v>
      </c>
      <c r="L362" s="334">
        <v>0</v>
      </c>
      <c r="M362" s="334"/>
      <c r="N362" s="334">
        <f t="shared" si="11"/>
        <v>0</v>
      </c>
      <c r="O362" s="334">
        <v>0</v>
      </c>
      <c r="P362" s="334"/>
    </row>
    <row r="363" spans="1:16" ht="25.5">
      <c r="A363" s="177">
        <v>305</v>
      </c>
      <c r="B363" s="326">
        <v>100</v>
      </c>
      <c r="C363" s="326">
        <v>800</v>
      </c>
      <c r="D363" s="326">
        <v>600</v>
      </c>
      <c r="E363" s="326">
        <v>0</v>
      </c>
      <c r="F363" s="326">
        <v>0</v>
      </c>
      <c r="G363" s="330" t="s">
        <v>2670</v>
      </c>
      <c r="H363" s="330" t="s">
        <v>937</v>
      </c>
      <c r="I363" s="326" t="s">
        <v>938</v>
      </c>
      <c r="J363" s="326" t="s">
        <v>1529</v>
      </c>
      <c r="K363" s="334">
        <f t="shared" si="10"/>
        <v>0</v>
      </c>
      <c r="L363" s="334">
        <v>0</v>
      </c>
      <c r="M363" s="334"/>
      <c r="N363" s="334">
        <f t="shared" si="11"/>
        <v>0</v>
      </c>
      <c r="O363" s="334">
        <v>0</v>
      </c>
      <c r="P363" s="334"/>
    </row>
    <row r="364" spans="1:16" ht="25.5">
      <c r="A364" s="177">
        <v>305</v>
      </c>
      <c r="B364" s="326">
        <v>100</v>
      </c>
      <c r="C364" s="326">
        <v>800</v>
      </c>
      <c r="D364" s="326">
        <v>700</v>
      </c>
      <c r="E364" s="326">
        <v>0</v>
      </c>
      <c r="F364" s="326">
        <v>0</v>
      </c>
      <c r="G364" s="330" t="s">
        <v>2671</v>
      </c>
      <c r="H364" s="330" t="s">
        <v>939</v>
      </c>
      <c r="I364" s="326" t="s">
        <v>940</v>
      </c>
      <c r="J364" s="326" t="s">
        <v>1578</v>
      </c>
      <c r="K364" s="334">
        <f t="shared" si="10"/>
        <v>0</v>
      </c>
      <c r="L364" s="334">
        <v>0</v>
      </c>
      <c r="M364" s="334"/>
      <c r="N364" s="334">
        <f t="shared" si="11"/>
        <v>0</v>
      </c>
      <c r="O364" s="334">
        <v>0</v>
      </c>
      <c r="P364" s="334"/>
    </row>
    <row r="365" spans="1:16" ht="25.5">
      <c r="A365" s="177">
        <v>305</v>
      </c>
      <c r="B365" s="326">
        <v>100</v>
      </c>
      <c r="C365" s="326">
        <v>850</v>
      </c>
      <c r="D365" s="326">
        <v>0</v>
      </c>
      <c r="E365" s="326">
        <v>0</v>
      </c>
      <c r="F365" s="326">
        <v>0</v>
      </c>
      <c r="G365" s="330" t="s">
        <v>2672</v>
      </c>
      <c r="H365" s="330" t="s">
        <v>942</v>
      </c>
      <c r="I365" s="326" t="s">
        <v>941</v>
      </c>
      <c r="J365" s="326" t="s">
        <v>1574</v>
      </c>
      <c r="K365" s="334">
        <f t="shared" si="10"/>
        <v>0</v>
      </c>
      <c r="L365" s="334">
        <v>0</v>
      </c>
      <c r="M365" s="334"/>
      <c r="N365" s="334">
        <f t="shared" si="11"/>
        <v>0</v>
      </c>
      <c r="O365" s="334">
        <v>0</v>
      </c>
      <c r="P365" s="334"/>
    </row>
    <row r="366" spans="1:16">
      <c r="A366" s="177">
        <v>305</v>
      </c>
      <c r="B366" s="326">
        <v>200</v>
      </c>
      <c r="C366" s="326">
        <v>0</v>
      </c>
      <c r="D366" s="326">
        <v>0</v>
      </c>
      <c r="E366" s="326">
        <v>0</v>
      </c>
      <c r="F366" s="326">
        <v>0</v>
      </c>
      <c r="G366" s="331" t="s">
        <v>2673</v>
      </c>
      <c r="H366" s="331" t="s">
        <v>55</v>
      </c>
      <c r="I366" s="326" t="s">
        <v>943</v>
      </c>
      <c r="J366" s="325"/>
      <c r="K366" s="335">
        <f t="shared" si="10"/>
        <v>0</v>
      </c>
      <c r="L366" s="335">
        <v>0</v>
      </c>
      <c r="M366" s="335"/>
      <c r="N366" s="335">
        <f t="shared" si="11"/>
        <v>0</v>
      </c>
      <c r="O366" s="335">
        <v>0</v>
      </c>
      <c r="P366" s="335"/>
    </row>
    <row r="367" spans="1:16">
      <c r="A367" s="177">
        <v>305</v>
      </c>
      <c r="B367" s="326">
        <v>200</v>
      </c>
      <c r="C367" s="326">
        <v>100</v>
      </c>
      <c r="D367" s="326">
        <v>0</v>
      </c>
      <c r="E367" s="326">
        <v>0</v>
      </c>
      <c r="F367" s="326">
        <v>0</v>
      </c>
      <c r="G367" s="331" t="s">
        <v>2674</v>
      </c>
      <c r="H367" s="331" t="s">
        <v>944</v>
      </c>
      <c r="I367" s="326" t="s">
        <v>945</v>
      </c>
      <c r="J367" s="325"/>
      <c r="K367" s="335">
        <f t="shared" si="10"/>
        <v>0</v>
      </c>
      <c r="L367" s="335">
        <v>0</v>
      </c>
      <c r="M367" s="335"/>
      <c r="N367" s="335">
        <f t="shared" si="11"/>
        <v>0</v>
      </c>
      <c r="O367" s="335">
        <v>0</v>
      </c>
      <c r="P367" s="335"/>
    </row>
    <row r="368" spans="1:16">
      <c r="A368" s="177">
        <v>305</v>
      </c>
      <c r="B368" s="326">
        <v>200</v>
      </c>
      <c r="C368" s="326">
        <v>100</v>
      </c>
      <c r="D368" s="326">
        <v>50</v>
      </c>
      <c r="E368" s="326">
        <v>0</v>
      </c>
      <c r="F368" s="326">
        <v>0</v>
      </c>
      <c r="G368" s="330" t="s">
        <v>2675</v>
      </c>
      <c r="H368" s="330" t="s">
        <v>946</v>
      </c>
      <c r="I368" s="326" t="s">
        <v>947</v>
      </c>
      <c r="J368" s="326"/>
      <c r="K368" s="334">
        <f t="shared" si="10"/>
        <v>722764.54</v>
      </c>
      <c r="L368" s="334">
        <v>722764.54</v>
      </c>
      <c r="M368" s="334"/>
      <c r="N368" s="334">
        <f t="shared" si="11"/>
        <v>582432.28</v>
      </c>
      <c r="O368" s="334">
        <v>582432.28</v>
      </c>
      <c r="P368" s="334"/>
    </row>
    <row r="369" spans="1:16">
      <c r="A369" s="177">
        <v>305</v>
      </c>
      <c r="B369" s="326">
        <v>200</v>
      </c>
      <c r="C369" s="326">
        <v>100</v>
      </c>
      <c r="D369" s="326">
        <v>100</v>
      </c>
      <c r="E369" s="326">
        <v>0</v>
      </c>
      <c r="F369" s="326">
        <v>0</v>
      </c>
      <c r="G369" s="330" t="s">
        <v>2676</v>
      </c>
      <c r="H369" s="330" t="s">
        <v>948</v>
      </c>
      <c r="I369" s="326" t="s">
        <v>949</v>
      </c>
      <c r="J369" s="326"/>
      <c r="K369" s="334">
        <f t="shared" si="10"/>
        <v>2007822.18</v>
      </c>
      <c r="L369" s="334">
        <v>2007822.18</v>
      </c>
      <c r="M369" s="334"/>
      <c r="N369" s="334">
        <f t="shared" si="11"/>
        <v>1945000.42</v>
      </c>
      <c r="O369" s="334">
        <v>1945000.42</v>
      </c>
      <c r="P369" s="334"/>
    </row>
    <row r="370" spans="1:16">
      <c r="A370" s="177">
        <v>305</v>
      </c>
      <c r="B370" s="326">
        <v>200</v>
      </c>
      <c r="C370" s="326">
        <v>100</v>
      </c>
      <c r="D370" s="326">
        <v>150</v>
      </c>
      <c r="E370" s="326">
        <v>0</v>
      </c>
      <c r="F370" s="326">
        <v>0</v>
      </c>
      <c r="G370" s="330" t="s">
        <v>2677</v>
      </c>
      <c r="H370" s="331" t="s">
        <v>950</v>
      </c>
      <c r="I370" s="326" t="s">
        <v>951</v>
      </c>
      <c r="J370" s="325"/>
      <c r="K370" s="335">
        <f t="shared" si="10"/>
        <v>0</v>
      </c>
      <c r="L370" s="335">
        <v>0</v>
      </c>
      <c r="M370" s="335"/>
      <c r="N370" s="335">
        <f t="shared" si="11"/>
        <v>0</v>
      </c>
      <c r="O370" s="335">
        <v>0</v>
      </c>
      <c r="P370" s="335"/>
    </row>
    <row r="371" spans="1:16">
      <c r="A371" s="177">
        <v>305</v>
      </c>
      <c r="B371" s="326">
        <v>200</v>
      </c>
      <c r="C371" s="326">
        <v>100</v>
      </c>
      <c r="D371" s="326">
        <v>150</v>
      </c>
      <c r="E371" s="326">
        <v>10</v>
      </c>
      <c r="F371" s="326">
        <v>0</v>
      </c>
      <c r="G371" s="330" t="s">
        <v>2678</v>
      </c>
      <c r="H371" s="330" t="s">
        <v>952</v>
      </c>
      <c r="I371" s="326" t="s">
        <v>953</v>
      </c>
      <c r="J371" s="326"/>
      <c r="K371" s="334">
        <f t="shared" si="10"/>
        <v>248308.61</v>
      </c>
      <c r="L371" s="334">
        <v>248308.61</v>
      </c>
      <c r="M371" s="334"/>
      <c r="N371" s="334">
        <f t="shared" si="11"/>
        <v>224453.62</v>
      </c>
      <c r="O371" s="334">
        <v>224453.62</v>
      </c>
      <c r="P371" s="334"/>
    </row>
    <row r="372" spans="1:16">
      <c r="A372" s="177">
        <v>305</v>
      </c>
      <c r="B372" s="326">
        <v>200</v>
      </c>
      <c r="C372" s="326">
        <v>100</v>
      </c>
      <c r="D372" s="326">
        <v>150</v>
      </c>
      <c r="E372" s="326">
        <v>20</v>
      </c>
      <c r="F372" s="326">
        <v>0</v>
      </c>
      <c r="G372" s="330" t="s">
        <v>2679</v>
      </c>
      <c r="H372" s="330" t="s">
        <v>954</v>
      </c>
      <c r="I372" s="326" t="s">
        <v>955</v>
      </c>
      <c r="J372" s="326"/>
      <c r="K372" s="334">
        <f t="shared" si="10"/>
        <v>625087.15</v>
      </c>
      <c r="L372" s="334">
        <v>625087.15</v>
      </c>
      <c r="M372" s="334"/>
      <c r="N372" s="334">
        <f t="shared" si="11"/>
        <v>723194.02</v>
      </c>
      <c r="O372" s="334">
        <v>723194.02</v>
      </c>
      <c r="P372" s="334"/>
    </row>
    <row r="373" spans="1:16">
      <c r="A373" s="177">
        <v>305</v>
      </c>
      <c r="B373" s="326">
        <v>200</v>
      </c>
      <c r="C373" s="326">
        <v>100</v>
      </c>
      <c r="D373" s="326">
        <v>200</v>
      </c>
      <c r="E373" s="326">
        <v>0</v>
      </c>
      <c r="F373" s="326">
        <v>0</v>
      </c>
      <c r="G373" s="330" t="s">
        <v>2680</v>
      </c>
      <c r="H373" s="330" t="s">
        <v>956</v>
      </c>
      <c r="I373" s="326" t="s">
        <v>957</v>
      </c>
      <c r="J373" s="326"/>
      <c r="K373" s="334">
        <f t="shared" si="10"/>
        <v>1880945.15</v>
      </c>
      <c r="L373" s="334">
        <v>1880945.15</v>
      </c>
      <c r="M373" s="334"/>
      <c r="N373" s="334">
        <f t="shared" si="11"/>
        <v>1740995.79</v>
      </c>
      <c r="O373" s="334">
        <v>1740995.79</v>
      </c>
      <c r="P373" s="334"/>
    </row>
    <row r="374" spans="1:16">
      <c r="A374" s="177">
        <v>305</v>
      </c>
      <c r="B374" s="326">
        <v>200</v>
      </c>
      <c r="C374" s="326">
        <v>100</v>
      </c>
      <c r="D374" s="326">
        <v>250</v>
      </c>
      <c r="E374" s="326">
        <v>0</v>
      </c>
      <c r="F374" s="326">
        <v>0</v>
      </c>
      <c r="G374" s="331" t="s">
        <v>2681</v>
      </c>
      <c r="H374" s="331" t="s">
        <v>958</v>
      </c>
      <c r="I374" s="326" t="s">
        <v>959</v>
      </c>
      <c r="J374" s="325"/>
      <c r="K374" s="335">
        <f t="shared" si="10"/>
        <v>0</v>
      </c>
      <c r="L374" s="335">
        <v>0</v>
      </c>
      <c r="M374" s="335"/>
      <c r="N374" s="335">
        <f t="shared" si="11"/>
        <v>0</v>
      </c>
      <c r="O374" s="335">
        <v>0</v>
      </c>
      <c r="P374" s="335"/>
    </row>
    <row r="375" spans="1:16">
      <c r="A375" s="177">
        <v>305</v>
      </c>
      <c r="B375" s="326">
        <v>200</v>
      </c>
      <c r="C375" s="326">
        <v>100</v>
      </c>
      <c r="D375" s="326">
        <v>250</v>
      </c>
      <c r="E375" s="326">
        <v>10</v>
      </c>
      <c r="F375" s="326">
        <v>0</v>
      </c>
      <c r="G375" s="330" t="s">
        <v>2682</v>
      </c>
      <c r="H375" s="330" t="s">
        <v>960</v>
      </c>
      <c r="I375" s="326"/>
      <c r="J375" s="326"/>
      <c r="K375" s="341">
        <f t="shared" si="10"/>
        <v>0</v>
      </c>
      <c r="L375" s="341">
        <v>0</v>
      </c>
      <c r="M375" s="341"/>
      <c r="N375" s="341">
        <f t="shared" si="11"/>
        <v>0</v>
      </c>
      <c r="O375" s="341">
        <v>0</v>
      </c>
      <c r="P375" s="341"/>
    </row>
    <row r="376" spans="1:16">
      <c r="A376" s="177">
        <v>305</v>
      </c>
      <c r="B376" s="326">
        <v>200</v>
      </c>
      <c r="C376" s="326">
        <v>100</v>
      </c>
      <c r="D376" s="326">
        <v>250</v>
      </c>
      <c r="E376" s="326">
        <v>20</v>
      </c>
      <c r="F376" s="326">
        <v>0</v>
      </c>
      <c r="G376" s="330" t="s">
        <v>2683</v>
      </c>
      <c r="H376" s="330" t="s">
        <v>961</v>
      </c>
      <c r="I376" s="326"/>
      <c r="J376" s="326"/>
      <c r="K376" s="341">
        <f t="shared" si="10"/>
        <v>0</v>
      </c>
      <c r="L376" s="341">
        <v>0</v>
      </c>
      <c r="M376" s="341"/>
      <c r="N376" s="341">
        <f t="shared" si="11"/>
        <v>0</v>
      </c>
      <c r="O376" s="341">
        <v>0</v>
      </c>
      <c r="P376" s="341"/>
    </row>
    <row r="377" spans="1:16">
      <c r="A377" s="177">
        <v>305</v>
      </c>
      <c r="B377" s="326">
        <v>200</v>
      </c>
      <c r="C377" s="326">
        <v>100</v>
      </c>
      <c r="D377" s="326">
        <v>250</v>
      </c>
      <c r="E377" s="326">
        <v>90</v>
      </c>
      <c r="F377" s="326">
        <v>0</v>
      </c>
      <c r="G377" s="330" t="s">
        <v>2684</v>
      </c>
      <c r="H377" s="330" t="s">
        <v>962</v>
      </c>
      <c r="I377" s="326"/>
      <c r="J377" s="326"/>
      <c r="K377" s="341">
        <f t="shared" si="10"/>
        <v>0</v>
      </c>
      <c r="L377" s="341">
        <v>0</v>
      </c>
      <c r="M377" s="341"/>
      <c r="N377" s="341">
        <f t="shared" si="11"/>
        <v>0</v>
      </c>
      <c r="O377" s="341">
        <v>0</v>
      </c>
      <c r="P377" s="341"/>
    </row>
    <row r="378" spans="1:16">
      <c r="A378" s="177">
        <v>305</v>
      </c>
      <c r="B378" s="326">
        <v>200</v>
      </c>
      <c r="C378" s="326">
        <v>100</v>
      </c>
      <c r="D378" s="326">
        <v>300</v>
      </c>
      <c r="E378" s="326">
        <v>0</v>
      </c>
      <c r="F378" s="326">
        <v>0</v>
      </c>
      <c r="G378" s="330" t="s">
        <v>2685</v>
      </c>
      <c r="H378" s="330" t="s">
        <v>963</v>
      </c>
      <c r="I378" s="326" t="s">
        <v>964</v>
      </c>
      <c r="J378" s="326"/>
      <c r="K378" s="334">
        <f t="shared" si="10"/>
        <v>321857.44</v>
      </c>
      <c r="L378" s="334">
        <v>321857.44</v>
      </c>
      <c r="M378" s="334"/>
      <c r="N378" s="334">
        <f t="shared" si="11"/>
        <v>328003.09999999998</v>
      </c>
      <c r="O378" s="334">
        <v>328003.09999999998</v>
      </c>
      <c r="P378" s="334"/>
    </row>
    <row r="379" spans="1:16">
      <c r="A379" s="177">
        <v>305</v>
      </c>
      <c r="B379" s="326">
        <v>200</v>
      </c>
      <c r="C379" s="326">
        <v>100</v>
      </c>
      <c r="D379" s="326">
        <v>350</v>
      </c>
      <c r="E379" s="326">
        <v>0</v>
      </c>
      <c r="F379" s="326">
        <v>0</v>
      </c>
      <c r="G379" s="330" t="s">
        <v>2686</v>
      </c>
      <c r="H379" s="330" t="s">
        <v>965</v>
      </c>
      <c r="I379" s="326" t="s">
        <v>966</v>
      </c>
      <c r="J379" s="326"/>
      <c r="K379" s="334">
        <f t="shared" si="10"/>
        <v>364197.11</v>
      </c>
      <c r="L379" s="334">
        <v>364197.11</v>
      </c>
      <c r="M379" s="334"/>
      <c r="N379" s="334">
        <f t="shared" si="11"/>
        <v>353734.55</v>
      </c>
      <c r="O379" s="334">
        <v>353734.55</v>
      </c>
      <c r="P379" s="334"/>
    </row>
    <row r="380" spans="1:16">
      <c r="A380" s="177">
        <v>305</v>
      </c>
      <c r="B380" s="326">
        <v>200</v>
      </c>
      <c r="C380" s="326">
        <v>100</v>
      </c>
      <c r="D380" s="326">
        <v>400</v>
      </c>
      <c r="E380" s="326">
        <v>0</v>
      </c>
      <c r="F380" s="326">
        <v>0</v>
      </c>
      <c r="G380" s="331" t="s">
        <v>2687</v>
      </c>
      <c r="H380" s="331" t="s">
        <v>967</v>
      </c>
      <c r="I380" s="326" t="s">
        <v>968</v>
      </c>
      <c r="J380" s="325"/>
      <c r="K380" s="335">
        <f t="shared" si="10"/>
        <v>0</v>
      </c>
      <c r="L380" s="335">
        <v>0</v>
      </c>
      <c r="M380" s="335"/>
      <c r="N380" s="335">
        <f t="shared" si="11"/>
        <v>0</v>
      </c>
      <c r="O380" s="335">
        <v>0</v>
      </c>
      <c r="P380" s="335"/>
    </row>
    <row r="381" spans="1:16">
      <c r="A381" s="177">
        <v>305</v>
      </c>
      <c r="B381" s="326">
        <v>200</v>
      </c>
      <c r="C381" s="326">
        <v>100</v>
      </c>
      <c r="D381" s="326">
        <v>400</v>
      </c>
      <c r="E381" s="326">
        <v>10</v>
      </c>
      <c r="F381" s="326">
        <v>0</v>
      </c>
      <c r="G381" s="330" t="s">
        <v>2688</v>
      </c>
      <c r="H381" s="330" t="s">
        <v>969</v>
      </c>
      <c r="I381" s="326"/>
      <c r="J381" s="326"/>
      <c r="K381" s="341">
        <f t="shared" si="10"/>
        <v>79760.850000000006</v>
      </c>
      <c r="L381" s="341">
        <v>79760.850000000006</v>
      </c>
      <c r="M381" s="341"/>
      <c r="N381" s="341">
        <f t="shared" si="11"/>
        <v>83552.7</v>
      </c>
      <c r="O381" s="341">
        <v>83552.7</v>
      </c>
      <c r="P381" s="341"/>
    </row>
    <row r="382" spans="1:16">
      <c r="A382" s="177">
        <v>305</v>
      </c>
      <c r="B382" s="326">
        <v>200</v>
      </c>
      <c r="C382" s="326">
        <v>100</v>
      </c>
      <c r="D382" s="326">
        <v>400</v>
      </c>
      <c r="E382" s="326">
        <v>20</v>
      </c>
      <c r="F382" s="326">
        <v>0</v>
      </c>
      <c r="G382" s="330" t="s">
        <v>2689</v>
      </c>
      <c r="H382" s="330" t="s">
        <v>970</v>
      </c>
      <c r="I382" s="326"/>
      <c r="J382" s="326"/>
      <c r="K382" s="341">
        <f t="shared" si="10"/>
        <v>7320</v>
      </c>
      <c r="L382" s="341">
        <v>7320</v>
      </c>
      <c r="M382" s="341"/>
      <c r="N382" s="341">
        <f t="shared" si="11"/>
        <v>7320</v>
      </c>
      <c r="O382" s="341">
        <v>7320</v>
      </c>
      <c r="P382" s="341"/>
    </row>
    <row r="383" spans="1:16">
      <c r="A383" s="177">
        <v>305</v>
      </c>
      <c r="B383" s="326">
        <v>200</v>
      </c>
      <c r="C383" s="326">
        <v>100</v>
      </c>
      <c r="D383" s="326">
        <v>450</v>
      </c>
      <c r="E383" s="326">
        <v>0</v>
      </c>
      <c r="F383" s="326">
        <v>0</v>
      </c>
      <c r="G383" s="330" t="s">
        <v>2690</v>
      </c>
      <c r="H383" s="330" t="s">
        <v>971</v>
      </c>
      <c r="I383" s="326" t="s">
        <v>972</v>
      </c>
      <c r="J383" s="326"/>
      <c r="K383" s="334">
        <f t="shared" si="10"/>
        <v>874774.75</v>
      </c>
      <c r="L383" s="334">
        <v>874774.75</v>
      </c>
      <c r="M383" s="334"/>
      <c r="N383" s="334">
        <f t="shared" si="11"/>
        <v>776536.3</v>
      </c>
      <c r="O383" s="334">
        <v>776536.3</v>
      </c>
      <c r="P383" s="334"/>
    </row>
    <row r="384" spans="1:16">
      <c r="A384" s="177">
        <v>305</v>
      </c>
      <c r="B384" s="326">
        <v>200</v>
      </c>
      <c r="C384" s="326">
        <v>100</v>
      </c>
      <c r="D384" s="325">
        <v>500</v>
      </c>
      <c r="E384" s="325">
        <v>0</v>
      </c>
      <c r="F384" s="325">
        <v>0</v>
      </c>
      <c r="G384" s="337" t="s">
        <v>2691</v>
      </c>
      <c r="H384" s="337" t="s">
        <v>973</v>
      </c>
      <c r="I384" s="325" t="s">
        <v>974</v>
      </c>
      <c r="J384" s="325"/>
      <c r="K384" s="335">
        <f t="shared" si="10"/>
        <v>0</v>
      </c>
      <c r="L384" s="335">
        <v>0</v>
      </c>
      <c r="M384" s="335"/>
      <c r="N384" s="335">
        <f t="shared" si="11"/>
        <v>0</v>
      </c>
      <c r="O384" s="335">
        <v>0</v>
      </c>
      <c r="P384" s="335"/>
    </row>
    <row r="385" spans="1:16">
      <c r="A385" s="177">
        <v>305</v>
      </c>
      <c r="B385" s="326">
        <v>200</v>
      </c>
      <c r="C385" s="326">
        <v>100</v>
      </c>
      <c r="D385" s="325">
        <v>500</v>
      </c>
      <c r="E385" s="326">
        <v>10</v>
      </c>
      <c r="F385" s="326">
        <v>0</v>
      </c>
      <c r="G385" s="330" t="s">
        <v>2692</v>
      </c>
      <c r="H385" s="330" t="s">
        <v>975</v>
      </c>
      <c r="I385" s="326"/>
      <c r="J385" s="326"/>
      <c r="K385" s="341">
        <f t="shared" si="10"/>
        <v>294730.03999999998</v>
      </c>
      <c r="L385" s="341">
        <v>294730.03999999998</v>
      </c>
      <c r="M385" s="341"/>
      <c r="N385" s="341">
        <f t="shared" si="11"/>
        <v>289679.69</v>
      </c>
      <c r="O385" s="341">
        <v>289679.69</v>
      </c>
      <c r="P385" s="341"/>
    </row>
    <row r="386" spans="1:16">
      <c r="A386" s="177">
        <v>305</v>
      </c>
      <c r="B386" s="326">
        <v>200</v>
      </c>
      <c r="C386" s="326">
        <v>100</v>
      </c>
      <c r="D386" s="325">
        <v>500</v>
      </c>
      <c r="E386" s="326">
        <v>20</v>
      </c>
      <c r="F386" s="326">
        <v>0</v>
      </c>
      <c r="G386" s="330" t="s">
        <v>2693</v>
      </c>
      <c r="H386" s="330" t="s">
        <v>976</v>
      </c>
      <c r="I386" s="326"/>
      <c r="J386" s="326"/>
      <c r="K386" s="341">
        <f t="shared" si="10"/>
        <v>0</v>
      </c>
      <c r="L386" s="341">
        <v>0</v>
      </c>
      <c r="M386" s="341"/>
      <c r="N386" s="341">
        <f t="shared" si="11"/>
        <v>0</v>
      </c>
      <c r="O386" s="341">
        <v>0</v>
      </c>
      <c r="P386" s="341"/>
    </row>
    <row r="387" spans="1:16">
      <c r="A387" s="177">
        <v>305</v>
      </c>
      <c r="B387" s="326">
        <v>200</v>
      </c>
      <c r="C387" s="326">
        <v>100</v>
      </c>
      <c r="D387" s="325">
        <v>500</v>
      </c>
      <c r="E387" s="326">
        <v>30</v>
      </c>
      <c r="F387" s="326">
        <v>0</v>
      </c>
      <c r="G387" s="330" t="s">
        <v>2694</v>
      </c>
      <c r="H387" s="330" t="s">
        <v>977</v>
      </c>
      <c r="I387" s="326"/>
      <c r="J387" s="326"/>
      <c r="K387" s="341">
        <f t="shared" si="10"/>
        <v>407.35</v>
      </c>
      <c r="L387" s="341">
        <v>407.35</v>
      </c>
      <c r="M387" s="341"/>
      <c r="N387" s="341">
        <f t="shared" si="11"/>
        <v>407.35</v>
      </c>
      <c r="O387" s="341">
        <v>407.35</v>
      </c>
      <c r="P387" s="341"/>
    </row>
    <row r="388" spans="1:16">
      <c r="A388" s="177">
        <v>305</v>
      </c>
      <c r="B388" s="326">
        <v>200</v>
      </c>
      <c r="C388" s="326">
        <v>100</v>
      </c>
      <c r="D388" s="325">
        <v>500</v>
      </c>
      <c r="E388" s="326">
        <v>40</v>
      </c>
      <c r="F388" s="326">
        <v>0</v>
      </c>
      <c r="G388" s="330" t="s">
        <v>2695</v>
      </c>
      <c r="H388" s="330" t="s">
        <v>978</v>
      </c>
      <c r="I388" s="326"/>
      <c r="J388" s="326"/>
      <c r="K388" s="341">
        <f t="shared" si="10"/>
        <v>0</v>
      </c>
      <c r="L388" s="341">
        <v>0</v>
      </c>
      <c r="M388" s="341"/>
      <c r="N388" s="341">
        <f t="shared" si="11"/>
        <v>0</v>
      </c>
      <c r="O388" s="341">
        <v>0</v>
      </c>
      <c r="P388" s="341"/>
    </row>
    <row r="389" spans="1:16">
      <c r="A389" s="177">
        <v>305</v>
      </c>
      <c r="B389" s="326">
        <v>200</v>
      </c>
      <c r="C389" s="326">
        <v>100</v>
      </c>
      <c r="D389" s="325">
        <v>500</v>
      </c>
      <c r="E389" s="326">
        <v>50</v>
      </c>
      <c r="F389" s="326">
        <v>0</v>
      </c>
      <c r="G389" s="330" t="s">
        <v>2696</v>
      </c>
      <c r="H389" s="330" t="s">
        <v>973</v>
      </c>
      <c r="I389" s="326"/>
      <c r="J389" s="326"/>
      <c r="K389" s="341">
        <f t="shared" si="10"/>
        <v>0</v>
      </c>
      <c r="L389" s="341">
        <v>0</v>
      </c>
      <c r="M389" s="341"/>
      <c r="N389" s="341">
        <f t="shared" si="11"/>
        <v>0</v>
      </c>
      <c r="O389" s="341">
        <v>0</v>
      </c>
      <c r="P389" s="341"/>
    </row>
    <row r="390" spans="1:16">
      <c r="A390" s="177">
        <v>305</v>
      </c>
      <c r="B390" s="326">
        <v>200</v>
      </c>
      <c r="C390" s="326">
        <v>100</v>
      </c>
      <c r="D390" s="326">
        <v>550</v>
      </c>
      <c r="E390" s="326">
        <v>0</v>
      </c>
      <c r="F390" s="326">
        <v>0</v>
      </c>
      <c r="G390" s="331" t="s">
        <v>2697</v>
      </c>
      <c r="H390" s="331" t="s">
        <v>979</v>
      </c>
      <c r="I390" s="326" t="s">
        <v>980</v>
      </c>
      <c r="J390" s="325"/>
      <c r="K390" s="335">
        <f t="shared" si="10"/>
        <v>0</v>
      </c>
      <c r="L390" s="335">
        <v>0</v>
      </c>
      <c r="M390" s="335"/>
      <c r="N390" s="335">
        <f t="shared" si="11"/>
        <v>0</v>
      </c>
      <c r="O390" s="335">
        <v>0</v>
      </c>
      <c r="P390" s="335"/>
    </row>
    <row r="391" spans="1:16">
      <c r="A391" s="177">
        <v>305</v>
      </c>
      <c r="B391" s="326">
        <v>200</v>
      </c>
      <c r="C391" s="326">
        <v>100</v>
      </c>
      <c r="D391" s="326">
        <v>550</v>
      </c>
      <c r="E391" s="326">
        <v>10</v>
      </c>
      <c r="F391" s="326">
        <v>0</v>
      </c>
      <c r="G391" s="330" t="s">
        <v>2698</v>
      </c>
      <c r="H391" s="330" t="s">
        <v>981</v>
      </c>
      <c r="I391" s="326" t="s">
        <v>982</v>
      </c>
      <c r="J391" s="326"/>
      <c r="K391" s="334">
        <f t="shared" ref="K391:K454" si="12">+L391+M391</f>
        <v>0</v>
      </c>
      <c r="L391" s="334">
        <v>0</v>
      </c>
      <c r="M391" s="334"/>
      <c r="N391" s="334">
        <f t="shared" ref="N391:N454" si="13">+O391+P391</f>
        <v>0</v>
      </c>
      <c r="O391" s="334">
        <v>0</v>
      </c>
      <c r="P391" s="334"/>
    </row>
    <row r="392" spans="1:16">
      <c r="A392" s="177">
        <v>305</v>
      </c>
      <c r="B392" s="326">
        <v>200</v>
      </c>
      <c r="C392" s="326">
        <v>100</v>
      </c>
      <c r="D392" s="326">
        <v>550</v>
      </c>
      <c r="E392" s="326">
        <v>20</v>
      </c>
      <c r="F392" s="326">
        <v>0</v>
      </c>
      <c r="G392" s="330" t="s">
        <v>2699</v>
      </c>
      <c r="H392" s="330" t="s">
        <v>983</v>
      </c>
      <c r="I392" s="326" t="s">
        <v>984</v>
      </c>
      <c r="J392" s="326"/>
      <c r="K392" s="334">
        <f t="shared" si="12"/>
        <v>85022.82</v>
      </c>
      <c r="L392" s="334">
        <v>85022.82</v>
      </c>
      <c r="M392" s="334"/>
      <c r="N392" s="334">
        <f t="shared" si="13"/>
        <v>77468.03</v>
      </c>
      <c r="O392" s="334">
        <v>77468.03</v>
      </c>
      <c r="P392" s="334"/>
    </row>
    <row r="393" spans="1:16">
      <c r="A393" s="177">
        <v>305</v>
      </c>
      <c r="B393" s="326">
        <v>200</v>
      </c>
      <c r="C393" s="326">
        <v>100</v>
      </c>
      <c r="D393" s="326">
        <v>600</v>
      </c>
      <c r="E393" s="326">
        <v>0</v>
      </c>
      <c r="F393" s="326">
        <v>0</v>
      </c>
      <c r="G393" s="331" t="s">
        <v>2700</v>
      </c>
      <c r="H393" s="331" t="s">
        <v>985</v>
      </c>
      <c r="I393" s="326" t="s">
        <v>986</v>
      </c>
      <c r="J393" s="325"/>
      <c r="K393" s="335">
        <f t="shared" si="12"/>
        <v>0</v>
      </c>
      <c r="L393" s="335">
        <v>0</v>
      </c>
      <c r="M393" s="335"/>
      <c r="N393" s="335">
        <f t="shared" si="13"/>
        <v>0</v>
      </c>
      <c r="O393" s="335">
        <v>0</v>
      </c>
      <c r="P393" s="335"/>
    </row>
    <row r="394" spans="1:16" ht="25.5">
      <c r="A394" s="177">
        <v>305</v>
      </c>
      <c r="B394" s="326">
        <v>200</v>
      </c>
      <c r="C394" s="326">
        <v>100</v>
      </c>
      <c r="D394" s="326">
        <v>600</v>
      </c>
      <c r="E394" s="326">
        <v>10</v>
      </c>
      <c r="F394" s="326">
        <v>0</v>
      </c>
      <c r="G394" s="330" t="s">
        <v>2701</v>
      </c>
      <c r="H394" s="330" t="s">
        <v>987</v>
      </c>
      <c r="I394" s="332" t="s">
        <v>988</v>
      </c>
      <c r="J394" s="332" t="s">
        <v>1529</v>
      </c>
      <c r="K394" s="334">
        <f t="shared" si="12"/>
        <v>558349.04</v>
      </c>
      <c r="L394" s="334">
        <v>558349.04</v>
      </c>
      <c r="M394" s="334"/>
      <c r="N394" s="334">
        <f t="shared" si="13"/>
        <v>447140.41000000003</v>
      </c>
      <c r="O394" s="334">
        <v>447140.41000000003</v>
      </c>
      <c r="P394" s="334"/>
    </row>
    <row r="395" spans="1:16">
      <c r="A395" s="177">
        <v>305</v>
      </c>
      <c r="B395" s="326">
        <v>200</v>
      </c>
      <c r="C395" s="326">
        <v>100</v>
      </c>
      <c r="D395" s="326">
        <v>600</v>
      </c>
      <c r="E395" s="326">
        <v>20</v>
      </c>
      <c r="F395" s="326">
        <v>0</v>
      </c>
      <c r="G395" s="331" t="s">
        <v>2702</v>
      </c>
      <c r="H395" s="331" t="s">
        <v>989</v>
      </c>
      <c r="I395" s="326" t="s">
        <v>990</v>
      </c>
      <c r="J395" s="325"/>
      <c r="K395" s="335">
        <f t="shared" si="12"/>
        <v>0</v>
      </c>
      <c r="L395" s="335">
        <v>0</v>
      </c>
      <c r="M395" s="335"/>
      <c r="N395" s="335">
        <f t="shared" si="13"/>
        <v>0</v>
      </c>
      <c r="O395" s="335">
        <v>0</v>
      </c>
      <c r="P395" s="335"/>
    </row>
    <row r="396" spans="1:16">
      <c r="A396" s="177">
        <v>305</v>
      </c>
      <c r="B396" s="326">
        <v>200</v>
      </c>
      <c r="C396" s="326">
        <v>100</v>
      </c>
      <c r="D396" s="326">
        <v>600</v>
      </c>
      <c r="E396" s="326">
        <v>20</v>
      </c>
      <c r="F396" s="326">
        <v>5</v>
      </c>
      <c r="G396" s="330" t="s">
        <v>2703</v>
      </c>
      <c r="H396" s="330" t="s">
        <v>991</v>
      </c>
      <c r="I396" s="326"/>
      <c r="J396" s="326"/>
      <c r="K396" s="341">
        <f t="shared" si="12"/>
        <v>0</v>
      </c>
      <c r="L396" s="341">
        <v>0</v>
      </c>
      <c r="M396" s="341"/>
      <c r="N396" s="341">
        <f t="shared" si="13"/>
        <v>0</v>
      </c>
      <c r="O396" s="341">
        <v>0</v>
      </c>
      <c r="P396" s="341"/>
    </row>
    <row r="397" spans="1:16">
      <c r="A397" s="177">
        <v>305</v>
      </c>
      <c r="B397" s="326">
        <v>200</v>
      </c>
      <c r="C397" s="326">
        <v>100</v>
      </c>
      <c r="D397" s="326">
        <v>600</v>
      </c>
      <c r="E397" s="326">
        <v>20</v>
      </c>
      <c r="F397" s="326">
        <v>10</v>
      </c>
      <c r="G397" s="330" t="s">
        <v>2704</v>
      </c>
      <c r="H397" s="330" t="s">
        <v>992</v>
      </c>
      <c r="I397" s="326"/>
      <c r="J397" s="326"/>
      <c r="K397" s="334">
        <f t="shared" si="12"/>
        <v>0</v>
      </c>
      <c r="L397" s="334">
        <v>0</v>
      </c>
      <c r="M397" s="334"/>
      <c r="N397" s="334">
        <f t="shared" si="13"/>
        <v>0</v>
      </c>
      <c r="O397" s="334">
        <v>0</v>
      </c>
      <c r="P397" s="334"/>
    </row>
    <row r="398" spans="1:16">
      <c r="A398" s="177">
        <v>305</v>
      </c>
      <c r="B398" s="326">
        <v>200</v>
      </c>
      <c r="C398" s="326">
        <v>100</v>
      </c>
      <c r="D398" s="326">
        <v>600</v>
      </c>
      <c r="E398" s="326">
        <v>30</v>
      </c>
      <c r="F398" s="326">
        <v>0</v>
      </c>
      <c r="G398" s="331" t="s">
        <v>2705</v>
      </c>
      <c r="H398" s="331" t="s">
        <v>993</v>
      </c>
      <c r="I398" s="326" t="s">
        <v>994</v>
      </c>
      <c r="J398" s="325"/>
      <c r="K398" s="335">
        <f t="shared" si="12"/>
        <v>0</v>
      </c>
      <c r="L398" s="335">
        <v>0</v>
      </c>
      <c r="M398" s="335"/>
      <c r="N398" s="335">
        <f t="shared" si="13"/>
        <v>0</v>
      </c>
      <c r="O398" s="335">
        <v>0</v>
      </c>
      <c r="P398" s="335"/>
    </row>
    <row r="399" spans="1:16">
      <c r="A399" s="177">
        <v>305</v>
      </c>
      <c r="B399" s="326">
        <v>200</v>
      </c>
      <c r="C399" s="326">
        <v>100</v>
      </c>
      <c r="D399" s="326">
        <v>600</v>
      </c>
      <c r="E399" s="326">
        <v>30</v>
      </c>
      <c r="F399" s="326">
        <v>5</v>
      </c>
      <c r="G399" s="330" t="s">
        <v>2706</v>
      </c>
      <c r="H399" s="330" t="s">
        <v>995</v>
      </c>
      <c r="I399" s="326"/>
      <c r="J399" s="326"/>
      <c r="K399" s="341">
        <f t="shared" si="12"/>
        <v>316202.28000000003</v>
      </c>
      <c r="L399" s="341">
        <v>316202.28000000003</v>
      </c>
      <c r="M399" s="341"/>
      <c r="N399" s="341">
        <f t="shared" si="13"/>
        <v>354362.19</v>
      </c>
      <c r="O399" s="341">
        <v>354362.19</v>
      </c>
      <c r="P399" s="341"/>
    </row>
    <row r="400" spans="1:16">
      <c r="A400" s="177">
        <v>305</v>
      </c>
      <c r="B400" s="326">
        <v>200</v>
      </c>
      <c r="C400" s="326">
        <v>100</v>
      </c>
      <c r="D400" s="326">
        <v>600</v>
      </c>
      <c r="E400" s="326">
        <v>30</v>
      </c>
      <c r="F400" s="326">
        <v>10</v>
      </c>
      <c r="G400" s="330" t="s">
        <v>2707</v>
      </c>
      <c r="H400" s="330" t="s">
        <v>996</v>
      </c>
      <c r="I400" s="326"/>
      <c r="J400" s="326"/>
      <c r="K400" s="341">
        <f t="shared" si="12"/>
        <v>30773.55</v>
      </c>
      <c r="L400" s="341">
        <v>30773.55</v>
      </c>
      <c r="M400" s="341"/>
      <c r="N400" s="341">
        <f t="shared" si="13"/>
        <v>28600</v>
      </c>
      <c r="O400" s="341">
        <v>28600</v>
      </c>
      <c r="P400" s="341"/>
    </row>
    <row r="401" spans="1:16">
      <c r="A401" s="177">
        <v>305</v>
      </c>
      <c r="B401" s="326">
        <v>200</v>
      </c>
      <c r="C401" s="326">
        <v>100</v>
      </c>
      <c r="D401" s="326">
        <v>600</v>
      </c>
      <c r="E401" s="326">
        <v>30</v>
      </c>
      <c r="F401" s="178">
        <v>15</v>
      </c>
      <c r="G401" s="343" t="s">
        <v>2708</v>
      </c>
      <c r="H401" s="343" t="s">
        <v>997</v>
      </c>
      <c r="I401" s="178"/>
      <c r="J401" s="178"/>
      <c r="K401" s="344">
        <f t="shared" si="12"/>
        <v>21607.919999999998</v>
      </c>
      <c r="L401" s="344">
        <v>21607.919999999998</v>
      </c>
      <c r="M401" s="344"/>
      <c r="N401" s="344">
        <f t="shared" si="13"/>
        <v>21327.95</v>
      </c>
      <c r="O401" s="344">
        <v>21327.95</v>
      </c>
      <c r="P401" s="344"/>
    </row>
    <row r="402" spans="1:16">
      <c r="A402" s="177">
        <v>305</v>
      </c>
      <c r="B402" s="326">
        <v>200</v>
      </c>
      <c r="C402" s="326">
        <v>100</v>
      </c>
      <c r="D402" s="326">
        <v>600</v>
      </c>
      <c r="E402" s="326">
        <v>30</v>
      </c>
      <c r="F402" s="178">
        <v>20</v>
      </c>
      <c r="G402" s="343" t="s">
        <v>2709</v>
      </c>
      <c r="H402" s="343" t="s">
        <v>998</v>
      </c>
      <c r="I402" s="178"/>
      <c r="J402" s="178"/>
      <c r="K402" s="344">
        <f t="shared" si="12"/>
        <v>0</v>
      </c>
      <c r="L402" s="344">
        <v>0</v>
      </c>
      <c r="M402" s="344"/>
      <c r="N402" s="344">
        <f t="shared" si="13"/>
        <v>0</v>
      </c>
      <c r="O402" s="344">
        <v>0</v>
      </c>
      <c r="P402" s="344"/>
    </row>
    <row r="403" spans="1:16">
      <c r="A403" s="177">
        <v>305</v>
      </c>
      <c r="B403" s="326">
        <v>200</v>
      </c>
      <c r="C403" s="326">
        <v>100</v>
      </c>
      <c r="D403" s="326">
        <v>600</v>
      </c>
      <c r="E403" s="326">
        <v>30</v>
      </c>
      <c r="F403" s="326">
        <v>25</v>
      </c>
      <c r="G403" s="330" t="s">
        <v>2710</v>
      </c>
      <c r="H403" s="330" t="s">
        <v>999</v>
      </c>
      <c r="I403" s="326"/>
      <c r="J403" s="326"/>
      <c r="K403" s="341">
        <f t="shared" si="12"/>
        <v>0</v>
      </c>
      <c r="L403" s="341">
        <v>0</v>
      </c>
      <c r="M403" s="341"/>
      <c r="N403" s="341">
        <f t="shared" si="13"/>
        <v>0</v>
      </c>
      <c r="O403" s="341">
        <v>0</v>
      </c>
      <c r="P403" s="341"/>
    </row>
    <row r="404" spans="1:16">
      <c r="A404" s="177">
        <v>305</v>
      </c>
      <c r="B404" s="326">
        <v>200</v>
      </c>
      <c r="C404" s="326">
        <v>100</v>
      </c>
      <c r="D404" s="326">
        <v>600</v>
      </c>
      <c r="E404" s="326">
        <v>30</v>
      </c>
      <c r="F404" s="326">
        <v>30</v>
      </c>
      <c r="G404" s="330" t="s">
        <v>2711</v>
      </c>
      <c r="H404" s="330" t="s">
        <v>1000</v>
      </c>
      <c r="I404" s="326"/>
      <c r="J404" s="326"/>
      <c r="K404" s="341">
        <f t="shared" si="12"/>
        <v>31177.98</v>
      </c>
      <c r="L404" s="341">
        <v>31177.98</v>
      </c>
      <c r="M404" s="341"/>
      <c r="N404" s="341">
        <f t="shared" si="13"/>
        <v>0</v>
      </c>
      <c r="O404" s="341">
        <v>0</v>
      </c>
      <c r="P404" s="341"/>
    </row>
    <row r="405" spans="1:16">
      <c r="A405" s="177">
        <v>305</v>
      </c>
      <c r="B405" s="326">
        <v>200</v>
      </c>
      <c r="C405" s="326">
        <v>100</v>
      </c>
      <c r="D405" s="326">
        <v>600</v>
      </c>
      <c r="E405" s="326">
        <v>30</v>
      </c>
      <c r="F405" s="326">
        <v>35</v>
      </c>
      <c r="G405" s="330" t="s">
        <v>2712</v>
      </c>
      <c r="H405" s="330" t="s">
        <v>1001</v>
      </c>
      <c r="I405" s="326"/>
      <c r="J405" s="326"/>
      <c r="K405" s="341">
        <f t="shared" si="12"/>
        <v>68282.53</v>
      </c>
      <c r="L405" s="341">
        <v>68282.53</v>
      </c>
      <c r="M405" s="341"/>
      <c r="N405" s="341">
        <f t="shared" si="13"/>
        <v>93716.99</v>
      </c>
      <c r="O405" s="341">
        <v>93716.99</v>
      </c>
      <c r="P405" s="341"/>
    </row>
    <row r="406" spans="1:16">
      <c r="A406" s="177">
        <v>305</v>
      </c>
      <c r="B406" s="326">
        <v>200</v>
      </c>
      <c r="C406" s="326">
        <v>100</v>
      </c>
      <c r="D406" s="326">
        <v>600</v>
      </c>
      <c r="E406" s="326">
        <v>30</v>
      </c>
      <c r="F406" s="326">
        <v>40</v>
      </c>
      <c r="G406" s="330" t="s">
        <v>2713</v>
      </c>
      <c r="H406" s="330" t="s">
        <v>1002</v>
      </c>
      <c r="I406" s="326"/>
      <c r="J406" s="326"/>
      <c r="K406" s="341">
        <f t="shared" si="12"/>
        <v>186.6</v>
      </c>
      <c r="L406" s="341">
        <v>186.6</v>
      </c>
      <c r="M406" s="341"/>
      <c r="N406" s="341">
        <f t="shared" si="13"/>
        <v>244.63</v>
      </c>
      <c r="O406" s="341">
        <v>244.63</v>
      </c>
      <c r="P406" s="341"/>
    </row>
    <row r="407" spans="1:16">
      <c r="A407" s="177">
        <v>305</v>
      </c>
      <c r="B407" s="326">
        <v>200</v>
      </c>
      <c r="C407" s="326">
        <v>100</v>
      </c>
      <c r="D407" s="326">
        <v>600</v>
      </c>
      <c r="E407" s="326">
        <v>30</v>
      </c>
      <c r="F407" s="326">
        <v>45</v>
      </c>
      <c r="G407" s="330" t="s">
        <v>3455</v>
      </c>
      <c r="H407" s="330" t="s">
        <v>1003</v>
      </c>
      <c r="I407" s="326"/>
      <c r="J407" s="326"/>
      <c r="K407" s="341">
        <f t="shared" si="12"/>
        <v>1915.11</v>
      </c>
      <c r="L407" s="341">
        <v>1915.11</v>
      </c>
      <c r="M407" s="341"/>
      <c r="N407" s="341">
        <f t="shared" si="13"/>
        <v>128</v>
      </c>
      <c r="O407" s="341">
        <v>128</v>
      </c>
      <c r="P407" s="341"/>
    </row>
    <row r="408" spans="1:16">
      <c r="A408" s="177">
        <v>305</v>
      </c>
      <c r="B408" s="326">
        <v>200</v>
      </c>
      <c r="C408" s="326">
        <v>100</v>
      </c>
      <c r="D408" s="326">
        <v>600</v>
      </c>
      <c r="E408" s="326">
        <v>30</v>
      </c>
      <c r="F408" s="326">
        <v>50</v>
      </c>
      <c r="G408" s="330" t="s">
        <v>3456</v>
      </c>
      <c r="H408" s="330" t="s">
        <v>1004</v>
      </c>
      <c r="I408" s="326"/>
      <c r="J408" s="326"/>
      <c r="K408" s="341">
        <f t="shared" si="12"/>
        <v>479204.1</v>
      </c>
      <c r="L408" s="341">
        <v>479204.1</v>
      </c>
      <c r="M408" s="341"/>
      <c r="N408" s="341">
        <f t="shared" si="13"/>
        <v>490432.41</v>
      </c>
      <c r="O408" s="341">
        <v>490432.41</v>
      </c>
      <c r="P408" s="341"/>
    </row>
    <row r="409" spans="1:16">
      <c r="A409" s="177">
        <v>305</v>
      </c>
      <c r="B409" s="326">
        <v>200</v>
      </c>
      <c r="C409" s="326">
        <v>100</v>
      </c>
      <c r="D409" s="326">
        <v>600</v>
      </c>
      <c r="E409" s="326">
        <v>30</v>
      </c>
      <c r="F409" s="326">
        <v>55</v>
      </c>
      <c r="G409" s="330" t="s">
        <v>2714</v>
      </c>
      <c r="H409" s="330" t="s">
        <v>1005</v>
      </c>
      <c r="I409" s="326"/>
      <c r="J409" s="326"/>
      <c r="K409" s="341">
        <f t="shared" si="12"/>
        <v>6463.85</v>
      </c>
      <c r="L409" s="341">
        <v>6463.85</v>
      </c>
      <c r="M409" s="341"/>
      <c r="N409" s="341">
        <f t="shared" si="13"/>
        <v>10707.65</v>
      </c>
      <c r="O409" s="341">
        <v>10707.65</v>
      </c>
      <c r="P409" s="341"/>
    </row>
    <row r="410" spans="1:16">
      <c r="A410" s="177">
        <v>305</v>
      </c>
      <c r="B410" s="326">
        <v>200</v>
      </c>
      <c r="C410" s="326">
        <v>100</v>
      </c>
      <c r="D410" s="326">
        <v>600</v>
      </c>
      <c r="E410" s="326">
        <v>30</v>
      </c>
      <c r="F410" s="326">
        <v>60</v>
      </c>
      <c r="G410" s="330" t="s">
        <v>2715</v>
      </c>
      <c r="H410" s="330" t="s">
        <v>1006</v>
      </c>
      <c r="I410" s="326"/>
      <c r="J410" s="326"/>
      <c r="K410" s="341">
        <f t="shared" si="12"/>
        <v>0</v>
      </c>
      <c r="L410" s="341">
        <v>0</v>
      </c>
      <c r="M410" s="341"/>
      <c r="N410" s="341">
        <f t="shared" si="13"/>
        <v>0</v>
      </c>
      <c r="O410" s="341">
        <v>0</v>
      </c>
      <c r="P410" s="341"/>
    </row>
    <row r="411" spans="1:16">
      <c r="A411" s="177">
        <v>305</v>
      </c>
      <c r="B411" s="326">
        <v>200</v>
      </c>
      <c r="C411" s="326">
        <v>100</v>
      </c>
      <c r="D411" s="326">
        <v>600</v>
      </c>
      <c r="E411" s="326">
        <v>30</v>
      </c>
      <c r="F411" s="326">
        <v>65</v>
      </c>
      <c r="G411" s="330" t="s">
        <v>2716</v>
      </c>
      <c r="H411" s="330" t="s">
        <v>1007</v>
      </c>
      <c r="I411" s="326"/>
      <c r="J411" s="326"/>
      <c r="K411" s="341">
        <f t="shared" si="12"/>
        <v>131915.94</v>
      </c>
      <c r="L411" s="341">
        <v>131915.94</v>
      </c>
      <c r="M411" s="341"/>
      <c r="N411" s="341">
        <f t="shared" si="13"/>
        <v>141883.16</v>
      </c>
      <c r="O411" s="341">
        <v>141883.16</v>
      </c>
      <c r="P411" s="341"/>
    </row>
    <row r="412" spans="1:16">
      <c r="A412" s="177">
        <v>305</v>
      </c>
      <c r="B412" s="326">
        <v>200</v>
      </c>
      <c r="C412" s="326">
        <v>100</v>
      </c>
      <c r="D412" s="326">
        <v>600</v>
      </c>
      <c r="E412" s="326">
        <v>30</v>
      </c>
      <c r="F412" s="326">
        <v>80</v>
      </c>
      <c r="G412" s="330" t="s">
        <v>2717</v>
      </c>
      <c r="H412" s="330" t="s">
        <v>1008</v>
      </c>
      <c r="I412" s="326"/>
      <c r="J412" s="326"/>
      <c r="K412" s="334">
        <f t="shared" si="12"/>
        <v>0</v>
      </c>
      <c r="L412" s="334">
        <v>0</v>
      </c>
      <c r="M412" s="334"/>
      <c r="N412" s="334">
        <f t="shared" si="13"/>
        <v>0</v>
      </c>
      <c r="O412" s="334">
        <v>0</v>
      </c>
      <c r="P412" s="334"/>
    </row>
    <row r="413" spans="1:16">
      <c r="A413" s="177">
        <v>305</v>
      </c>
      <c r="B413" s="326">
        <v>200</v>
      </c>
      <c r="C413" s="326">
        <v>100</v>
      </c>
      <c r="D413" s="326">
        <v>600</v>
      </c>
      <c r="E413" s="326">
        <v>30</v>
      </c>
      <c r="F413" s="326">
        <v>90</v>
      </c>
      <c r="G413" s="330" t="s">
        <v>2718</v>
      </c>
      <c r="H413" s="330" t="s">
        <v>993</v>
      </c>
      <c r="I413" s="326"/>
      <c r="J413" s="326"/>
      <c r="K413" s="341">
        <f t="shared" si="12"/>
        <v>2381219.96</v>
      </c>
      <c r="L413" s="341">
        <v>2381219.96</v>
      </c>
      <c r="M413" s="341"/>
      <c r="N413" s="341">
        <f t="shared" si="13"/>
        <v>2483151.9800000004</v>
      </c>
      <c r="O413" s="341">
        <v>2483151.9800000004</v>
      </c>
      <c r="P413" s="341"/>
    </row>
    <row r="414" spans="1:16" ht="25.5">
      <c r="A414" s="177">
        <v>305</v>
      </c>
      <c r="B414" s="326">
        <v>200</v>
      </c>
      <c r="C414" s="326">
        <v>200</v>
      </c>
      <c r="D414" s="326">
        <v>0</v>
      </c>
      <c r="E414" s="326">
        <v>0</v>
      </c>
      <c r="F414" s="326">
        <v>0</v>
      </c>
      <c r="G414" s="331" t="s">
        <v>2719</v>
      </c>
      <c r="H414" s="331" t="s">
        <v>1009</v>
      </c>
      <c r="I414" s="332" t="s">
        <v>1010</v>
      </c>
      <c r="J414" s="333"/>
      <c r="K414" s="335">
        <f t="shared" si="12"/>
        <v>0</v>
      </c>
      <c r="L414" s="335">
        <v>0</v>
      </c>
      <c r="M414" s="335"/>
      <c r="N414" s="335">
        <f t="shared" si="13"/>
        <v>0</v>
      </c>
      <c r="O414" s="335">
        <v>0</v>
      </c>
      <c r="P414" s="335"/>
    </row>
    <row r="415" spans="1:16" ht="25.5">
      <c r="A415" s="177">
        <v>305</v>
      </c>
      <c r="B415" s="326">
        <v>200</v>
      </c>
      <c r="C415" s="326">
        <v>200</v>
      </c>
      <c r="D415" s="326">
        <v>100</v>
      </c>
      <c r="E415" s="326">
        <v>0</v>
      </c>
      <c r="F415" s="326">
        <v>0</v>
      </c>
      <c r="G415" s="330" t="s">
        <v>2720</v>
      </c>
      <c r="H415" s="330" t="s">
        <v>1011</v>
      </c>
      <c r="I415" s="332" t="s">
        <v>1012</v>
      </c>
      <c r="J415" s="332" t="s">
        <v>1529</v>
      </c>
      <c r="K415" s="334">
        <f t="shared" si="12"/>
        <v>56464.28</v>
      </c>
      <c r="L415" s="334">
        <v>56464.28</v>
      </c>
      <c r="M415" s="334"/>
      <c r="N415" s="334">
        <f t="shared" si="13"/>
        <v>8009.05</v>
      </c>
      <c r="O415" s="334">
        <v>8009.05</v>
      </c>
      <c r="P415" s="334"/>
    </row>
    <row r="416" spans="1:16" ht="25.5">
      <c r="A416" s="177">
        <v>305</v>
      </c>
      <c r="B416" s="326">
        <v>200</v>
      </c>
      <c r="C416" s="326">
        <v>200</v>
      </c>
      <c r="D416" s="326">
        <v>200</v>
      </c>
      <c r="E416" s="326">
        <v>0</v>
      </c>
      <c r="F416" s="326">
        <v>0</v>
      </c>
      <c r="G416" s="330" t="s">
        <v>2721</v>
      </c>
      <c r="H416" s="330" t="s">
        <v>1013</v>
      </c>
      <c r="I416" s="326" t="s">
        <v>1014</v>
      </c>
      <c r="J416" s="326"/>
      <c r="K416" s="334">
        <f t="shared" si="12"/>
        <v>0</v>
      </c>
      <c r="L416" s="334">
        <v>0</v>
      </c>
      <c r="M416" s="334"/>
      <c r="N416" s="334">
        <f t="shared" si="13"/>
        <v>0</v>
      </c>
      <c r="O416" s="334">
        <v>0</v>
      </c>
      <c r="P416" s="334"/>
    </row>
    <row r="417" spans="1:16" ht="25.5">
      <c r="A417" s="177">
        <v>305</v>
      </c>
      <c r="B417" s="326">
        <v>200</v>
      </c>
      <c r="C417" s="326">
        <v>200</v>
      </c>
      <c r="D417" s="326">
        <v>300</v>
      </c>
      <c r="E417" s="326">
        <v>0</v>
      </c>
      <c r="F417" s="326">
        <v>0</v>
      </c>
      <c r="G417" s="331" t="s">
        <v>2722</v>
      </c>
      <c r="H417" s="331" t="s">
        <v>1015</v>
      </c>
      <c r="I417" s="326" t="s">
        <v>1016</v>
      </c>
      <c r="J417" s="325"/>
      <c r="K417" s="335">
        <f t="shared" si="12"/>
        <v>0</v>
      </c>
      <c r="L417" s="335">
        <v>0</v>
      </c>
      <c r="M417" s="335"/>
      <c r="N417" s="335">
        <f t="shared" si="13"/>
        <v>0</v>
      </c>
      <c r="O417" s="335">
        <v>0</v>
      </c>
      <c r="P417" s="335"/>
    </row>
    <row r="418" spans="1:16">
      <c r="A418" s="177">
        <v>305</v>
      </c>
      <c r="B418" s="326">
        <v>200</v>
      </c>
      <c r="C418" s="326">
        <v>200</v>
      </c>
      <c r="D418" s="326">
        <v>300</v>
      </c>
      <c r="E418" s="326">
        <v>10</v>
      </c>
      <c r="F418" s="326">
        <v>0</v>
      </c>
      <c r="G418" s="331" t="s">
        <v>2723</v>
      </c>
      <c r="H418" s="331" t="s">
        <v>1017</v>
      </c>
      <c r="I418" s="326" t="s">
        <v>1018</v>
      </c>
      <c r="J418" s="325"/>
      <c r="K418" s="335">
        <f t="shared" si="12"/>
        <v>0</v>
      </c>
      <c r="L418" s="335">
        <v>0</v>
      </c>
      <c r="M418" s="335"/>
      <c r="N418" s="335">
        <f t="shared" si="13"/>
        <v>0</v>
      </c>
      <c r="O418" s="335">
        <v>0</v>
      </c>
      <c r="P418" s="335"/>
    </row>
    <row r="419" spans="1:16">
      <c r="A419" s="177">
        <v>305</v>
      </c>
      <c r="B419" s="326">
        <v>200</v>
      </c>
      <c r="C419" s="326">
        <v>200</v>
      </c>
      <c r="D419" s="326">
        <v>300</v>
      </c>
      <c r="E419" s="326">
        <v>10</v>
      </c>
      <c r="F419" s="326">
        <v>5</v>
      </c>
      <c r="G419" s="330" t="s">
        <v>2724</v>
      </c>
      <c r="H419" s="330" t="s">
        <v>1019</v>
      </c>
      <c r="I419" s="326"/>
      <c r="J419" s="326"/>
      <c r="K419" s="341">
        <f t="shared" si="12"/>
        <v>12767.76</v>
      </c>
      <c r="L419" s="341">
        <v>12767.76</v>
      </c>
      <c r="M419" s="341"/>
      <c r="N419" s="341">
        <f t="shared" si="13"/>
        <v>7947.19</v>
      </c>
      <c r="O419" s="341">
        <v>7947.19</v>
      </c>
      <c r="P419" s="341"/>
    </row>
    <row r="420" spans="1:16">
      <c r="A420" s="177">
        <v>305</v>
      </c>
      <c r="B420" s="326">
        <v>200</v>
      </c>
      <c r="C420" s="326">
        <v>200</v>
      </c>
      <c r="D420" s="326">
        <v>300</v>
      </c>
      <c r="E420" s="326">
        <v>10</v>
      </c>
      <c r="F420" s="326">
        <v>10</v>
      </c>
      <c r="G420" s="330" t="s">
        <v>2725</v>
      </c>
      <c r="H420" s="330" t="s">
        <v>1020</v>
      </c>
      <c r="I420" s="326"/>
      <c r="J420" s="326"/>
      <c r="K420" s="341">
        <f t="shared" si="12"/>
        <v>0</v>
      </c>
      <c r="L420" s="341">
        <v>0</v>
      </c>
      <c r="M420" s="341"/>
      <c r="N420" s="341">
        <f t="shared" si="13"/>
        <v>0</v>
      </c>
      <c r="O420" s="341">
        <v>0</v>
      </c>
      <c r="P420" s="341"/>
    </row>
    <row r="421" spans="1:16">
      <c r="A421" s="177">
        <v>305</v>
      </c>
      <c r="B421" s="326">
        <v>200</v>
      </c>
      <c r="C421" s="326">
        <v>200</v>
      </c>
      <c r="D421" s="326">
        <v>300</v>
      </c>
      <c r="E421" s="326">
        <v>10</v>
      </c>
      <c r="F421" s="326">
        <v>15</v>
      </c>
      <c r="G421" s="330" t="s">
        <v>2726</v>
      </c>
      <c r="H421" s="330" t="s">
        <v>1021</v>
      </c>
      <c r="I421" s="326"/>
      <c r="J421" s="326"/>
      <c r="K421" s="341">
        <f t="shared" si="12"/>
        <v>2049.6</v>
      </c>
      <c r="L421" s="341">
        <v>2049.6</v>
      </c>
      <c r="M421" s="341"/>
      <c r="N421" s="341">
        <f t="shared" si="13"/>
        <v>0</v>
      </c>
      <c r="O421" s="341">
        <v>0</v>
      </c>
      <c r="P421" s="341"/>
    </row>
    <row r="422" spans="1:16">
      <c r="A422" s="177">
        <v>305</v>
      </c>
      <c r="B422" s="326">
        <v>200</v>
      </c>
      <c r="C422" s="326">
        <v>200</v>
      </c>
      <c r="D422" s="326">
        <v>300</v>
      </c>
      <c r="E422" s="326">
        <v>10</v>
      </c>
      <c r="F422" s="326">
        <v>20</v>
      </c>
      <c r="G422" s="330" t="s">
        <v>2727</v>
      </c>
      <c r="H422" s="330" t="s">
        <v>1022</v>
      </c>
      <c r="I422" s="326"/>
      <c r="J422" s="326"/>
      <c r="K422" s="341">
        <f t="shared" si="12"/>
        <v>0</v>
      </c>
      <c r="L422" s="341">
        <v>0</v>
      </c>
      <c r="M422" s="341"/>
      <c r="N422" s="341">
        <f t="shared" si="13"/>
        <v>0</v>
      </c>
      <c r="O422" s="341">
        <v>0</v>
      </c>
      <c r="P422" s="341"/>
    </row>
    <row r="423" spans="1:16">
      <c r="A423" s="177">
        <v>305</v>
      </c>
      <c r="B423" s="326">
        <v>200</v>
      </c>
      <c r="C423" s="326">
        <v>200</v>
      </c>
      <c r="D423" s="326">
        <v>300</v>
      </c>
      <c r="E423" s="326">
        <v>10</v>
      </c>
      <c r="F423" s="326">
        <v>90</v>
      </c>
      <c r="G423" s="330" t="s">
        <v>2728</v>
      </c>
      <c r="H423" s="330" t="s">
        <v>1023</v>
      </c>
      <c r="I423" s="326"/>
      <c r="J423" s="326"/>
      <c r="K423" s="341">
        <f t="shared" si="12"/>
        <v>31110</v>
      </c>
      <c r="L423" s="341">
        <v>31110</v>
      </c>
      <c r="M423" s="341"/>
      <c r="N423" s="341">
        <f t="shared" si="13"/>
        <v>0</v>
      </c>
      <c r="O423" s="341">
        <v>0</v>
      </c>
      <c r="P423" s="341"/>
    </row>
    <row r="424" spans="1:16" ht="25.5">
      <c r="A424" s="177">
        <v>305</v>
      </c>
      <c r="B424" s="326">
        <v>200</v>
      </c>
      <c r="C424" s="326">
        <v>200</v>
      </c>
      <c r="D424" s="326">
        <v>300</v>
      </c>
      <c r="E424" s="326">
        <v>20</v>
      </c>
      <c r="F424" s="326">
        <v>0</v>
      </c>
      <c r="G424" s="330" t="s">
        <v>2729</v>
      </c>
      <c r="H424" s="330" t="s">
        <v>1024</v>
      </c>
      <c r="I424" s="326" t="s">
        <v>1025</v>
      </c>
      <c r="J424" s="326"/>
      <c r="K424" s="334">
        <f t="shared" si="12"/>
        <v>0</v>
      </c>
      <c r="L424" s="334">
        <v>0</v>
      </c>
      <c r="M424" s="334"/>
      <c r="N424" s="334">
        <f t="shared" si="13"/>
        <v>0</v>
      </c>
      <c r="O424" s="334">
        <v>0</v>
      </c>
      <c r="P424" s="334"/>
    </row>
    <row r="425" spans="1:16" ht="25.5">
      <c r="A425" s="177">
        <v>305</v>
      </c>
      <c r="B425" s="326">
        <v>200</v>
      </c>
      <c r="C425" s="326">
        <v>200</v>
      </c>
      <c r="D425" s="326">
        <v>300</v>
      </c>
      <c r="E425" s="326">
        <v>30</v>
      </c>
      <c r="F425" s="326">
        <v>0</v>
      </c>
      <c r="G425" s="330" t="s">
        <v>2730</v>
      </c>
      <c r="H425" s="330" t="s">
        <v>1026</v>
      </c>
      <c r="I425" s="326" t="s">
        <v>1027</v>
      </c>
      <c r="J425" s="326"/>
      <c r="K425" s="334">
        <f t="shared" si="12"/>
        <v>0</v>
      </c>
      <c r="L425" s="334">
        <v>0</v>
      </c>
      <c r="M425" s="334"/>
      <c r="N425" s="334">
        <f t="shared" si="13"/>
        <v>0</v>
      </c>
      <c r="O425" s="334">
        <v>0</v>
      </c>
      <c r="P425" s="334"/>
    </row>
    <row r="426" spans="1:16">
      <c r="A426" s="177">
        <v>305</v>
      </c>
      <c r="B426" s="326">
        <v>200</v>
      </c>
      <c r="C426" s="326">
        <v>200</v>
      </c>
      <c r="D426" s="326">
        <v>300</v>
      </c>
      <c r="E426" s="326">
        <v>40</v>
      </c>
      <c r="F426" s="326">
        <v>0</v>
      </c>
      <c r="G426" s="330" t="s">
        <v>2731</v>
      </c>
      <c r="H426" s="330" t="s">
        <v>1028</v>
      </c>
      <c r="I426" s="326" t="s">
        <v>1029</v>
      </c>
      <c r="J426" s="326"/>
      <c r="K426" s="334">
        <f t="shared" si="12"/>
        <v>351647.76</v>
      </c>
      <c r="L426" s="334">
        <v>351647.76</v>
      </c>
      <c r="M426" s="334"/>
      <c r="N426" s="334">
        <f t="shared" si="13"/>
        <v>229028.51999999996</v>
      </c>
      <c r="O426" s="334">
        <v>229028.51999999996</v>
      </c>
      <c r="P426" s="334"/>
    </row>
    <row r="427" spans="1:16" ht="25.5">
      <c r="A427" s="177">
        <v>305</v>
      </c>
      <c r="B427" s="326">
        <v>200</v>
      </c>
      <c r="C427" s="326">
        <v>200</v>
      </c>
      <c r="D427" s="326">
        <v>300</v>
      </c>
      <c r="E427" s="326">
        <v>50</v>
      </c>
      <c r="F427" s="326">
        <v>0</v>
      </c>
      <c r="G427" s="331" t="s">
        <v>2732</v>
      </c>
      <c r="H427" s="331" t="s">
        <v>1030</v>
      </c>
      <c r="I427" s="326" t="s">
        <v>1031</v>
      </c>
      <c r="J427" s="325"/>
      <c r="K427" s="335">
        <f t="shared" si="12"/>
        <v>0</v>
      </c>
      <c r="L427" s="335">
        <v>0</v>
      </c>
      <c r="M427" s="335"/>
      <c r="N427" s="335">
        <f t="shared" si="13"/>
        <v>0</v>
      </c>
      <c r="O427" s="335">
        <v>0</v>
      </c>
      <c r="P427" s="335"/>
    </row>
    <row r="428" spans="1:16">
      <c r="A428" s="177">
        <v>305</v>
      </c>
      <c r="B428" s="326">
        <v>200</v>
      </c>
      <c r="C428" s="326">
        <v>200</v>
      </c>
      <c r="D428" s="326">
        <v>300</v>
      </c>
      <c r="E428" s="326">
        <v>50</v>
      </c>
      <c r="F428" s="326">
        <v>10</v>
      </c>
      <c r="G428" s="330" t="s">
        <v>2733</v>
      </c>
      <c r="H428" s="330" t="s">
        <v>1032</v>
      </c>
      <c r="I428" s="326"/>
      <c r="J428" s="326"/>
      <c r="K428" s="341">
        <f t="shared" si="12"/>
        <v>0</v>
      </c>
      <c r="L428" s="341">
        <v>0</v>
      </c>
      <c r="M428" s="341"/>
      <c r="N428" s="341">
        <f t="shared" si="13"/>
        <v>0</v>
      </c>
      <c r="O428" s="341">
        <v>0</v>
      </c>
      <c r="P428" s="341"/>
    </row>
    <row r="429" spans="1:16" ht="25.5">
      <c r="A429" s="177">
        <v>305</v>
      </c>
      <c r="B429" s="326">
        <v>200</v>
      </c>
      <c r="C429" s="326">
        <v>200</v>
      </c>
      <c r="D429" s="326">
        <v>300</v>
      </c>
      <c r="E429" s="326">
        <v>50</v>
      </c>
      <c r="F429" s="326">
        <v>20</v>
      </c>
      <c r="G429" s="330" t="s">
        <v>2734</v>
      </c>
      <c r="H429" s="330" t="s">
        <v>1033</v>
      </c>
      <c r="I429" s="326"/>
      <c r="J429" s="326"/>
      <c r="K429" s="341">
        <f t="shared" si="12"/>
        <v>19623.689999999999</v>
      </c>
      <c r="L429" s="341">
        <v>19623.689999999999</v>
      </c>
      <c r="M429" s="341"/>
      <c r="N429" s="341">
        <f t="shared" si="13"/>
        <v>25698.73</v>
      </c>
      <c r="O429" s="341">
        <v>25698.73</v>
      </c>
      <c r="P429" s="341"/>
    </row>
    <row r="430" spans="1:16">
      <c r="A430" s="177">
        <v>305</v>
      </c>
      <c r="B430" s="326">
        <v>200</v>
      </c>
      <c r="C430" s="326">
        <v>200</v>
      </c>
      <c r="D430" s="326">
        <v>300</v>
      </c>
      <c r="E430" s="326">
        <v>50</v>
      </c>
      <c r="F430" s="326">
        <v>30</v>
      </c>
      <c r="G430" s="330" t="s">
        <v>2735</v>
      </c>
      <c r="H430" s="330" t="s">
        <v>1034</v>
      </c>
      <c r="I430" s="326"/>
      <c r="J430" s="326"/>
      <c r="K430" s="341">
        <f t="shared" si="12"/>
        <v>0</v>
      </c>
      <c r="L430" s="341">
        <v>0</v>
      </c>
      <c r="M430" s="341"/>
      <c r="N430" s="341">
        <f t="shared" si="13"/>
        <v>0</v>
      </c>
      <c r="O430" s="341">
        <v>0</v>
      </c>
      <c r="P430" s="341"/>
    </row>
    <row r="431" spans="1:16">
      <c r="A431" s="177">
        <v>305</v>
      </c>
      <c r="B431" s="326">
        <v>200</v>
      </c>
      <c r="C431" s="326">
        <v>200</v>
      </c>
      <c r="D431" s="326">
        <v>300</v>
      </c>
      <c r="E431" s="326">
        <v>50</v>
      </c>
      <c r="F431" s="326">
        <v>40</v>
      </c>
      <c r="G431" s="330" t="s">
        <v>2736</v>
      </c>
      <c r="H431" s="330" t="s">
        <v>1035</v>
      </c>
      <c r="I431" s="326"/>
      <c r="J431" s="326"/>
      <c r="K431" s="341">
        <f t="shared" si="12"/>
        <v>1820</v>
      </c>
      <c r="L431" s="341">
        <v>1820</v>
      </c>
      <c r="M431" s="341"/>
      <c r="N431" s="341">
        <f t="shared" si="13"/>
        <v>6767.5</v>
      </c>
      <c r="O431" s="341">
        <v>6767.5</v>
      </c>
      <c r="P431" s="341"/>
    </row>
    <row r="432" spans="1:16" ht="25.5">
      <c r="A432" s="177">
        <v>305</v>
      </c>
      <c r="B432" s="326">
        <v>200</v>
      </c>
      <c r="C432" s="326">
        <v>200</v>
      </c>
      <c r="D432" s="326">
        <v>300</v>
      </c>
      <c r="E432" s="326">
        <v>50</v>
      </c>
      <c r="F432" s="326">
        <v>90</v>
      </c>
      <c r="G432" s="330" t="s">
        <v>2737</v>
      </c>
      <c r="H432" s="330" t="s">
        <v>1030</v>
      </c>
      <c r="I432" s="326"/>
      <c r="J432" s="326"/>
      <c r="K432" s="341">
        <f t="shared" si="12"/>
        <v>0</v>
      </c>
      <c r="L432" s="341">
        <v>0</v>
      </c>
      <c r="M432" s="341"/>
      <c r="N432" s="341">
        <f t="shared" si="13"/>
        <v>0</v>
      </c>
      <c r="O432" s="341">
        <v>0</v>
      </c>
      <c r="P432" s="341"/>
    </row>
    <row r="433" spans="1:16" ht="51">
      <c r="A433" s="177">
        <v>305</v>
      </c>
      <c r="B433" s="326">
        <v>200</v>
      </c>
      <c r="C433" s="326">
        <v>200</v>
      </c>
      <c r="D433" s="326">
        <v>300</v>
      </c>
      <c r="E433" s="326">
        <v>60</v>
      </c>
      <c r="F433" s="326">
        <v>0</v>
      </c>
      <c r="G433" s="330" t="s">
        <v>2738</v>
      </c>
      <c r="H433" s="330" t="s">
        <v>1036</v>
      </c>
      <c r="I433" s="326" t="s">
        <v>1037</v>
      </c>
      <c r="J433" s="326"/>
      <c r="K433" s="341">
        <f t="shared" si="12"/>
        <v>0</v>
      </c>
      <c r="L433" s="341">
        <v>0</v>
      </c>
      <c r="M433" s="341"/>
      <c r="N433" s="341">
        <f t="shared" si="13"/>
        <v>0</v>
      </c>
      <c r="O433" s="341">
        <v>0</v>
      </c>
      <c r="P433" s="341"/>
    </row>
    <row r="434" spans="1:16" ht="25.5">
      <c r="A434" s="177">
        <v>305</v>
      </c>
      <c r="B434" s="326">
        <v>200</v>
      </c>
      <c r="C434" s="326">
        <v>200</v>
      </c>
      <c r="D434" s="326">
        <v>400</v>
      </c>
      <c r="E434" s="326">
        <v>0</v>
      </c>
      <c r="F434" s="326">
        <v>0</v>
      </c>
      <c r="G434" s="331" t="s">
        <v>2739</v>
      </c>
      <c r="H434" s="331" t="s">
        <v>1038</v>
      </c>
      <c r="I434" s="332" t="s">
        <v>1039</v>
      </c>
      <c r="J434" s="333"/>
      <c r="K434" s="335">
        <f t="shared" si="12"/>
        <v>0</v>
      </c>
      <c r="L434" s="335">
        <v>0</v>
      </c>
      <c r="M434" s="335"/>
      <c r="N434" s="335">
        <f t="shared" si="13"/>
        <v>0</v>
      </c>
      <c r="O434" s="335">
        <v>0</v>
      </c>
      <c r="P434" s="335"/>
    </row>
    <row r="435" spans="1:16" ht="38.25">
      <c r="A435" s="177">
        <v>305</v>
      </c>
      <c r="B435" s="326">
        <v>200</v>
      </c>
      <c r="C435" s="326">
        <v>200</v>
      </c>
      <c r="D435" s="326">
        <v>400</v>
      </c>
      <c r="E435" s="326">
        <v>10</v>
      </c>
      <c r="F435" s="326">
        <v>0</v>
      </c>
      <c r="G435" s="330" t="s">
        <v>2740</v>
      </c>
      <c r="H435" s="330" t="s">
        <v>1040</v>
      </c>
      <c r="I435" s="332" t="s">
        <v>1041</v>
      </c>
      <c r="J435" s="332" t="s">
        <v>1529</v>
      </c>
      <c r="K435" s="334">
        <f t="shared" si="12"/>
        <v>0</v>
      </c>
      <c r="L435" s="334">
        <v>0</v>
      </c>
      <c r="M435" s="334"/>
      <c r="N435" s="334">
        <f t="shared" si="13"/>
        <v>0</v>
      </c>
      <c r="O435" s="334">
        <v>0</v>
      </c>
      <c r="P435" s="334"/>
    </row>
    <row r="436" spans="1:16" ht="38.25">
      <c r="A436" s="177">
        <v>305</v>
      </c>
      <c r="B436" s="326">
        <v>200</v>
      </c>
      <c r="C436" s="326">
        <v>200</v>
      </c>
      <c r="D436" s="326">
        <v>400</v>
      </c>
      <c r="E436" s="326">
        <v>20</v>
      </c>
      <c r="F436" s="326">
        <v>0</v>
      </c>
      <c r="G436" s="330" t="s">
        <v>2741</v>
      </c>
      <c r="H436" s="330" t="s">
        <v>1042</v>
      </c>
      <c r="I436" s="326" t="s">
        <v>1043</v>
      </c>
      <c r="J436" s="326"/>
      <c r="K436" s="334">
        <f t="shared" si="12"/>
        <v>2749.87</v>
      </c>
      <c r="L436" s="334">
        <v>2749.87</v>
      </c>
      <c r="M436" s="334"/>
      <c r="N436" s="334">
        <f t="shared" si="13"/>
        <v>0</v>
      </c>
      <c r="O436" s="334">
        <v>0</v>
      </c>
      <c r="P436" s="334"/>
    </row>
    <row r="437" spans="1:16" ht="25.5">
      <c r="A437" s="177">
        <v>305</v>
      </c>
      <c r="B437" s="326">
        <v>200</v>
      </c>
      <c r="C437" s="326">
        <v>200</v>
      </c>
      <c r="D437" s="326">
        <v>400</v>
      </c>
      <c r="E437" s="326">
        <v>30</v>
      </c>
      <c r="F437" s="326">
        <v>0</v>
      </c>
      <c r="G437" s="330" t="s">
        <v>2742</v>
      </c>
      <c r="H437" s="330" t="s">
        <v>1044</v>
      </c>
      <c r="I437" s="326" t="s">
        <v>1045</v>
      </c>
      <c r="J437" s="326" t="s">
        <v>1578</v>
      </c>
      <c r="K437" s="334">
        <f t="shared" si="12"/>
        <v>0</v>
      </c>
      <c r="L437" s="334">
        <v>0</v>
      </c>
      <c r="M437" s="334"/>
      <c r="N437" s="334">
        <f t="shared" si="13"/>
        <v>0</v>
      </c>
      <c r="O437" s="334">
        <v>0</v>
      </c>
      <c r="P437" s="334"/>
    </row>
    <row r="438" spans="1:16">
      <c r="A438" s="177">
        <v>305</v>
      </c>
      <c r="B438" s="326">
        <v>200</v>
      </c>
      <c r="C438" s="326">
        <v>300</v>
      </c>
      <c r="D438" s="326">
        <v>0</v>
      </c>
      <c r="E438" s="326">
        <v>0</v>
      </c>
      <c r="F438" s="326">
        <v>0</v>
      </c>
      <c r="G438" s="331" t="s">
        <v>2743</v>
      </c>
      <c r="H438" s="331" t="s">
        <v>1046</v>
      </c>
      <c r="I438" s="326" t="s">
        <v>1047</v>
      </c>
      <c r="J438" s="325"/>
      <c r="K438" s="335">
        <f t="shared" si="12"/>
        <v>0</v>
      </c>
      <c r="L438" s="335">
        <v>0</v>
      </c>
      <c r="M438" s="335"/>
      <c r="N438" s="335">
        <f t="shared" si="13"/>
        <v>0</v>
      </c>
      <c r="O438" s="335">
        <v>0</v>
      </c>
      <c r="P438" s="335"/>
    </row>
    <row r="439" spans="1:16">
      <c r="A439" s="177">
        <v>305</v>
      </c>
      <c r="B439" s="326">
        <v>200</v>
      </c>
      <c r="C439" s="326">
        <v>300</v>
      </c>
      <c r="D439" s="326">
        <v>100</v>
      </c>
      <c r="E439" s="326">
        <v>0</v>
      </c>
      <c r="F439" s="326">
        <v>0</v>
      </c>
      <c r="G439" s="330" t="s">
        <v>2744</v>
      </c>
      <c r="H439" s="330" t="s">
        <v>1048</v>
      </c>
      <c r="I439" s="326" t="s">
        <v>1049</v>
      </c>
      <c r="J439" s="326"/>
      <c r="K439" s="334">
        <f t="shared" si="12"/>
        <v>3859.05</v>
      </c>
      <c r="L439" s="334">
        <v>3859.05</v>
      </c>
      <c r="M439" s="334"/>
      <c r="N439" s="334">
        <f t="shared" si="13"/>
        <v>695.26</v>
      </c>
      <c r="O439" s="334">
        <v>695.26</v>
      </c>
      <c r="P439" s="334"/>
    </row>
    <row r="440" spans="1:16">
      <c r="A440" s="177">
        <v>305</v>
      </c>
      <c r="B440" s="326">
        <v>200</v>
      </c>
      <c r="C440" s="326">
        <v>300</v>
      </c>
      <c r="D440" s="326">
        <v>200</v>
      </c>
      <c r="E440" s="326">
        <v>0</v>
      </c>
      <c r="F440" s="326">
        <v>0</v>
      </c>
      <c r="G440" s="330" t="s">
        <v>2745</v>
      </c>
      <c r="H440" s="330" t="s">
        <v>1050</v>
      </c>
      <c r="I440" s="326" t="s">
        <v>1051</v>
      </c>
      <c r="J440" s="326"/>
      <c r="K440" s="334">
        <f t="shared" si="12"/>
        <v>218154.88</v>
      </c>
      <c r="L440" s="334">
        <v>218154.88</v>
      </c>
      <c r="M440" s="334"/>
      <c r="N440" s="334">
        <f t="shared" si="13"/>
        <v>169634.71</v>
      </c>
      <c r="O440" s="334">
        <v>169634.71</v>
      </c>
      <c r="P440" s="334"/>
    </row>
    <row r="441" spans="1:16">
      <c r="A441" s="403">
        <v>310</v>
      </c>
      <c r="B441" s="404">
        <v>0</v>
      </c>
      <c r="C441" s="404">
        <v>0</v>
      </c>
      <c r="D441" s="404">
        <v>0</v>
      </c>
      <c r="E441" s="404">
        <v>0</v>
      </c>
      <c r="F441" s="404">
        <v>0</v>
      </c>
      <c r="G441" s="339">
        <v>310</v>
      </c>
      <c r="H441" s="339" t="s">
        <v>1052</v>
      </c>
      <c r="I441" s="55"/>
      <c r="J441" s="55"/>
      <c r="K441" s="346">
        <f t="shared" si="12"/>
        <v>0</v>
      </c>
      <c r="L441" s="346">
        <v>0</v>
      </c>
      <c r="M441" s="346"/>
      <c r="N441" s="346">
        <f t="shared" si="13"/>
        <v>0</v>
      </c>
      <c r="O441" s="346">
        <v>0</v>
      </c>
      <c r="P441" s="346"/>
    </row>
    <row r="442" spans="1:16" ht="25.5">
      <c r="A442" s="177">
        <v>310</v>
      </c>
      <c r="B442" s="326">
        <v>100</v>
      </c>
      <c r="C442" s="326">
        <v>0</v>
      </c>
      <c r="D442" s="326">
        <v>0</v>
      </c>
      <c r="E442" s="326">
        <v>0</v>
      </c>
      <c r="F442" s="326">
        <v>0</v>
      </c>
      <c r="G442" s="330" t="s">
        <v>2746</v>
      </c>
      <c r="H442" s="330" t="s">
        <v>1053</v>
      </c>
      <c r="I442" s="326" t="s">
        <v>1054</v>
      </c>
      <c r="J442" s="326"/>
      <c r="K442" s="334">
        <f t="shared" si="12"/>
        <v>74105.009999999995</v>
      </c>
      <c r="L442" s="334">
        <v>74105.009999999995</v>
      </c>
      <c r="M442" s="334"/>
      <c r="N442" s="334">
        <f t="shared" si="13"/>
        <v>64067.74</v>
      </c>
      <c r="O442" s="334">
        <v>64067.74</v>
      </c>
      <c r="P442" s="334"/>
    </row>
    <row r="443" spans="1:16">
      <c r="A443" s="177">
        <v>310</v>
      </c>
      <c r="B443" s="326">
        <v>200</v>
      </c>
      <c r="C443" s="326">
        <v>0</v>
      </c>
      <c r="D443" s="326">
        <v>0</v>
      </c>
      <c r="E443" s="326">
        <v>0</v>
      </c>
      <c r="F443" s="326">
        <v>0</v>
      </c>
      <c r="G443" s="331" t="s">
        <v>2747</v>
      </c>
      <c r="H443" s="331" t="s">
        <v>1055</v>
      </c>
      <c r="I443" s="326" t="s">
        <v>1056</v>
      </c>
      <c r="J443" s="325"/>
      <c r="K443" s="335">
        <f t="shared" si="12"/>
        <v>0</v>
      </c>
      <c r="L443" s="335">
        <v>0</v>
      </c>
      <c r="M443" s="335"/>
      <c r="N443" s="335">
        <f t="shared" si="13"/>
        <v>0</v>
      </c>
      <c r="O443" s="335">
        <v>0</v>
      </c>
      <c r="P443" s="335"/>
    </row>
    <row r="444" spans="1:16">
      <c r="A444" s="177">
        <v>310</v>
      </c>
      <c r="B444" s="326">
        <v>200</v>
      </c>
      <c r="C444" s="326">
        <v>100</v>
      </c>
      <c r="D444" s="326">
        <v>0</v>
      </c>
      <c r="E444" s="326">
        <v>0</v>
      </c>
      <c r="F444" s="326">
        <v>0</v>
      </c>
      <c r="G444" s="330" t="s">
        <v>2748</v>
      </c>
      <c r="H444" s="330" t="s">
        <v>1057</v>
      </c>
      <c r="I444" s="326"/>
      <c r="J444" s="326"/>
      <c r="K444" s="341">
        <f t="shared" si="12"/>
        <v>25620</v>
      </c>
      <c r="L444" s="341">
        <v>25620</v>
      </c>
      <c r="M444" s="341"/>
      <c r="N444" s="341">
        <f t="shared" si="13"/>
        <v>25620</v>
      </c>
      <c r="O444" s="341">
        <v>25620</v>
      </c>
      <c r="P444" s="341"/>
    </row>
    <row r="445" spans="1:16">
      <c r="A445" s="177">
        <v>310</v>
      </c>
      <c r="B445" s="326">
        <v>200</v>
      </c>
      <c r="C445" s="326">
        <v>200</v>
      </c>
      <c r="D445" s="326">
        <v>0</v>
      </c>
      <c r="E445" s="326">
        <v>0</v>
      </c>
      <c r="F445" s="326">
        <v>0</v>
      </c>
      <c r="G445" s="330" t="s">
        <v>2749</v>
      </c>
      <c r="H445" s="330" t="s">
        <v>1058</v>
      </c>
      <c r="I445" s="326"/>
      <c r="J445" s="326"/>
      <c r="K445" s="341">
        <f t="shared" si="12"/>
        <v>185894.96</v>
      </c>
      <c r="L445" s="341">
        <v>185894.96</v>
      </c>
      <c r="M445" s="341"/>
      <c r="N445" s="341">
        <f t="shared" si="13"/>
        <v>195932.25</v>
      </c>
      <c r="O445" s="341">
        <v>195932.25</v>
      </c>
      <c r="P445" s="341"/>
    </row>
    <row r="446" spans="1:16" ht="25.5">
      <c r="A446" s="177">
        <v>310</v>
      </c>
      <c r="B446" s="326">
        <v>200</v>
      </c>
      <c r="C446" s="326">
        <v>300</v>
      </c>
      <c r="D446" s="326">
        <v>0</v>
      </c>
      <c r="E446" s="326">
        <v>0</v>
      </c>
      <c r="F446" s="326">
        <v>0</v>
      </c>
      <c r="G446" s="330" t="s">
        <v>2750</v>
      </c>
      <c r="H446" s="330" t="s">
        <v>1059</v>
      </c>
      <c r="I446" s="326"/>
      <c r="J446" s="326"/>
      <c r="K446" s="341">
        <f t="shared" si="12"/>
        <v>0</v>
      </c>
      <c r="L446" s="341">
        <v>0</v>
      </c>
      <c r="M446" s="341"/>
      <c r="N446" s="341">
        <f t="shared" si="13"/>
        <v>0</v>
      </c>
      <c r="O446" s="341">
        <v>0</v>
      </c>
      <c r="P446" s="341"/>
    </row>
    <row r="447" spans="1:16" ht="25.5">
      <c r="A447" s="177">
        <v>310</v>
      </c>
      <c r="B447" s="326">
        <v>300</v>
      </c>
      <c r="C447" s="326">
        <v>0</v>
      </c>
      <c r="D447" s="326">
        <v>0</v>
      </c>
      <c r="E447" s="326">
        <v>0</v>
      </c>
      <c r="F447" s="326">
        <v>0</v>
      </c>
      <c r="G447" s="330" t="s">
        <v>2751</v>
      </c>
      <c r="H447" s="330" t="s">
        <v>1060</v>
      </c>
      <c r="I447" s="326" t="s">
        <v>1061</v>
      </c>
      <c r="J447" s="326"/>
      <c r="K447" s="334">
        <f t="shared" si="12"/>
        <v>1563674.61</v>
      </c>
      <c r="L447" s="334">
        <v>1563674.61</v>
      </c>
      <c r="M447" s="334"/>
      <c r="N447" s="334">
        <f t="shared" si="13"/>
        <v>1559747.71</v>
      </c>
      <c r="O447" s="334">
        <v>1559747.71</v>
      </c>
      <c r="P447" s="334"/>
    </row>
    <row r="448" spans="1:16">
      <c r="A448" s="177">
        <v>310</v>
      </c>
      <c r="B448" s="326">
        <v>400</v>
      </c>
      <c r="C448" s="326">
        <v>0</v>
      </c>
      <c r="D448" s="326">
        <v>0</v>
      </c>
      <c r="E448" s="326">
        <v>0</v>
      </c>
      <c r="F448" s="326">
        <v>0</v>
      </c>
      <c r="G448" s="330" t="s">
        <v>2752</v>
      </c>
      <c r="H448" s="330" t="s">
        <v>1062</v>
      </c>
      <c r="I448" s="326" t="s">
        <v>1063</v>
      </c>
      <c r="J448" s="326"/>
      <c r="K448" s="334">
        <f t="shared" si="12"/>
        <v>0</v>
      </c>
      <c r="L448" s="334">
        <v>0</v>
      </c>
      <c r="M448" s="334"/>
      <c r="N448" s="334">
        <f t="shared" si="13"/>
        <v>3541.11</v>
      </c>
      <c r="O448" s="334">
        <v>3541.11</v>
      </c>
      <c r="P448" s="334"/>
    </row>
    <row r="449" spans="1:16">
      <c r="A449" s="177">
        <v>310</v>
      </c>
      <c r="B449" s="326">
        <v>500</v>
      </c>
      <c r="C449" s="326">
        <v>0</v>
      </c>
      <c r="D449" s="326">
        <v>0</v>
      </c>
      <c r="E449" s="326">
        <v>0</v>
      </c>
      <c r="F449" s="326">
        <v>0</v>
      </c>
      <c r="G449" s="330" t="s">
        <v>2753</v>
      </c>
      <c r="H449" s="330" t="s">
        <v>1064</v>
      </c>
      <c r="I449" s="326" t="s">
        <v>1065</v>
      </c>
      <c r="J449" s="326"/>
      <c r="K449" s="334">
        <f t="shared" si="12"/>
        <v>3170.73</v>
      </c>
      <c r="L449" s="334">
        <v>3170.73</v>
      </c>
      <c r="M449" s="334"/>
      <c r="N449" s="334">
        <f t="shared" si="13"/>
        <v>0</v>
      </c>
      <c r="O449" s="334">
        <v>0</v>
      </c>
      <c r="P449" s="334"/>
    </row>
    <row r="450" spans="1:16">
      <c r="A450" s="177">
        <v>310</v>
      </c>
      <c r="B450" s="326">
        <v>600</v>
      </c>
      <c r="C450" s="326">
        <v>0</v>
      </c>
      <c r="D450" s="326">
        <v>0</v>
      </c>
      <c r="E450" s="326">
        <v>0</v>
      </c>
      <c r="F450" s="326">
        <v>0</v>
      </c>
      <c r="G450" s="331" t="s">
        <v>2754</v>
      </c>
      <c r="H450" s="331" t="s">
        <v>1066</v>
      </c>
      <c r="I450" s="326" t="s">
        <v>1067</v>
      </c>
      <c r="J450" s="325"/>
      <c r="K450" s="335">
        <f t="shared" si="12"/>
        <v>0</v>
      </c>
      <c r="L450" s="335">
        <v>0</v>
      </c>
      <c r="M450" s="335"/>
      <c r="N450" s="335">
        <f t="shared" si="13"/>
        <v>0</v>
      </c>
      <c r="O450" s="335">
        <v>0</v>
      </c>
      <c r="P450" s="335"/>
    </row>
    <row r="451" spans="1:16">
      <c r="A451" s="177">
        <v>310</v>
      </c>
      <c r="B451" s="326">
        <v>600</v>
      </c>
      <c r="C451" s="326">
        <v>100</v>
      </c>
      <c r="D451" s="326">
        <v>0</v>
      </c>
      <c r="E451" s="326">
        <v>0</v>
      </c>
      <c r="F451" s="326">
        <v>0</v>
      </c>
      <c r="G451" s="330" t="s">
        <v>2755</v>
      </c>
      <c r="H451" s="330" t="s">
        <v>1068</v>
      </c>
      <c r="I451" s="326"/>
      <c r="J451" s="326"/>
      <c r="K451" s="341">
        <f t="shared" si="12"/>
        <v>139517.37</v>
      </c>
      <c r="L451" s="341">
        <v>139517.37</v>
      </c>
      <c r="M451" s="341"/>
      <c r="N451" s="341">
        <f t="shared" si="13"/>
        <v>63582.540000000008</v>
      </c>
      <c r="O451" s="341">
        <v>63582.540000000008</v>
      </c>
      <c r="P451" s="341"/>
    </row>
    <row r="452" spans="1:16">
      <c r="A452" s="177">
        <v>310</v>
      </c>
      <c r="B452" s="326">
        <v>600</v>
      </c>
      <c r="C452" s="326">
        <v>200</v>
      </c>
      <c r="D452" s="326">
        <v>0</v>
      </c>
      <c r="E452" s="326">
        <v>0</v>
      </c>
      <c r="F452" s="326">
        <v>0</v>
      </c>
      <c r="G452" s="330" t="s">
        <v>2756</v>
      </c>
      <c r="H452" s="330" t="s">
        <v>1069</v>
      </c>
      <c r="I452" s="326"/>
      <c r="J452" s="326"/>
      <c r="K452" s="341">
        <f t="shared" si="12"/>
        <v>32506.660000000003</v>
      </c>
      <c r="L452" s="341">
        <v>32506.660000000003</v>
      </c>
      <c r="M452" s="341"/>
      <c r="N452" s="341">
        <f t="shared" si="13"/>
        <v>34595.99</v>
      </c>
      <c r="O452" s="341">
        <v>34595.99</v>
      </c>
      <c r="P452" s="341"/>
    </row>
    <row r="453" spans="1:16">
      <c r="A453" s="177">
        <v>310</v>
      </c>
      <c r="B453" s="326">
        <v>600</v>
      </c>
      <c r="C453" s="326">
        <v>300</v>
      </c>
      <c r="D453" s="326">
        <v>0</v>
      </c>
      <c r="E453" s="326">
        <v>0</v>
      </c>
      <c r="F453" s="326">
        <v>0</v>
      </c>
      <c r="G453" s="330" t="s">
        <v>2757</v>
      </c>
      <c r="H453" s="330" t="s">
        <v>1066</v>
      </c>
      <c r="I453" s="326"/>
      <c r="J453" s="326"/>
      <c r="K453" s="341">
        <f t="shared" si="12"/>
        <v>574.80999999999995</v>
      </c>
      <c r="L453" s="341">
        <v>574.80999999999995</v>
      </c>
      <c r="M453" s="341"/>
      <c r="N453" s="341">
        <f t="shared" si="13"/>
        <v>1242.48</v>
      </c>
      <c r="O453" s="341">
        <v>1242.48</v>
      </c>
      <c r="P453" s="341"/>
    </row>
    <row r="454" spans="1:16" ht="25.5">
      <c r="A454" s="177">
        <v>310</v>
      </c>
      <c r="B454" s="326">
        <v>700</v>
      </c>
      <c r="C454" s="326">
        <v>0</v>
      </c>
      <c r="D454" s="326">
        <v>0</v>
      </c>
      <c r="E454" s="326">
        <v>0</v>
      </c>
      <c r="F454" s="326">
        <v>0</v>
      </c>
      <c r="G454" s="330" t="s">
        <v>2758</v>
      </c>
      <c r="H454" s="330" t="s">
        <v>1070</v>
      </c>
      <c r="I454" s="332" t="s">
        <v>1071</v>
      </c>
      <c r="J454" s="332" t="s">
        <v>1529</v>
      </c>
      <c r="K454" s="334">
        <f t="shared" si="12"/>
        <v>0</v>
      </c>
      <c r="L454" s="334">
        <v>0</v>
      </c>
      <c r="M454" s="334"/>
      <c r="N454" s="334">
        <f t="shared" si="13"/>
        <v>0</v>
      </c>
      <c r="O454" s="334">
        <v>0</v>
      </c>
      <c r="P454" s="334"/>
    </row>
    <row r="455" spans="1:16">
      <c r="A455" s="403">
        <v>315</v>
      </c>
      <c r="B455" s="404">
        <v>0</v>
      </c>
      <c r="C455" s="404">
        <v>0</v>
      </c>
      <c r="D455" s="404">
        <v>0</v>
      </c>
      <c r="E455" s="404">
        <v>0</v>
      </c>
      <c r="F455" s="404">
        <v>0</v>
      </c>
      <c r="G455" s="339">
        <v>315</v>
      </c>
      <c r="H455" s="339" t="s">
        <v>60</v>
      </c>
      <c r="I455" s="55" t="s">
        <v>1072</v>
      </c>
      <c r="J455" s="55"/>
      <c r="K455" s="346">
        <f t="shared" ref="K455:K518" si="14">+L455+M455</f>
        <v>0</v>
      </c>
      <c r="L455" s="346">
        <v>0</v>
      </c>
      <c r="M455" s="346"/>
      <c r="N455" s="346">
        <f t="shared" ref="N455:N518" si="15">+O455+P455</f>
        <v>0</v>
      </c>
      <c r="O455" s="346">
        <v>0</v>
      </c>
      <c r="P455" s="346"/>
    </row>
    <row r="456" spans="1:16">
      <c r="A456" s="177">
        <v>315</v>
      </c>
      <c r="B456" s="326">
        <v>100</v>
      </c>
      <c r="C456" s="326">
        <v>0</v>
      </c>
      <c r="D456" s="326">
        <v>0</v>
      </c>
      <c r="E456" s="326">
        <v>0</v>
      </c>
      <c r="F456" s="326">
        <v>0</v>
      </c>
      <c r="G456" s="331" t="s">
        <v>2759</v>
      </c>
      <c r="H456" s="331" t="s">
        <v>1073</v>
      </c>
      <c r="I456" s="326" t="s">
        <v>1074</v>
      </c>
      <c r="J456" s="325"/>
      <c r="K456" s="335">
        <f t="shared" si="14"/>
        <v>0</v>
      </c>
      <c r="L456" s="335">
        <v>0</v>
      </c>
      <c r="M456" s="335"/>
      <c r="N456" s="335">
        <f t="shared" si="15"/>
        <v>0</v>
      </c>
      <c r="O456" s="335">
        <v>0</v>
      </c>
      <c r="P456" s="335"/>
    </row>
    <row r="457" spans="1:16">
      <c r="A457" s="177">
        <v>315</v>
      </c>
      <c r="B457" s="326">
        <v>100</v>
      </c>
      <c r="C457" s="326">
        <v>100</v>
      </c>
      <c r="D457" s="326">
        <v>0</v>
      </c>
      <c r="E457" s="326">
        <v>0</v>
      </c>
      <c r="F457" s="326">
        <v>0</v>
      </c>
      <c r="G457" s="330" t="s">
        <v>2760</v>
      </c>
      <c r="H457" s="330" t="s">
        <v>1075</v>
      </c>
      <c r="I457" s="326"/>
      <c r="J457" s="326"/>
      <c r="K457" s="341">
        <f t="shared" si="14"/>
        <v>25480.16</v>
      </c>
      <c r="L457" s="341">
        <v>25480.16</v>
      </c>
      <c r="M457" s="341"/>
      <c r="N457" s="341">
        <f t="shared" si="15"/>
        <v>25228.16</v>
      </c>
      <c r="O457" s="341">
        <v>25228.16</v>
      </c>
      <c r="P457" s="341"/>
    </row>
    <row r="458" spans="1:16">
      <c r="A458" s="177">
        <v>315</v>
      </c>
      <c r="B458" s="326">
        <v>100</v>
      </c>
      <c r="C458" s="326">
        <v>200</v>
      </c>
      <c r="D458" s="326">
        <v>0</v>
      </c>
      <c r="E458" s="326">
        <v>0</v>
      </c>
      <c r="F458" s="326">
        <v>0</v>
      </c>
      <c r="G458" s="330" t="s">
        <v>2761</v>
      </c>
      <c r="H458" s="330" t="s">
        <v>1076</v>
      </c>
      <c r="I458" s="326"/>
      <c r="J458" s="326"/>
      <c r="K458" s="341">
        <f t="shared" si="14"/>
        <v>23570.43</v>
      </c>
      <c r="L458" s="341">
        <v>23570.43</v>
      </c>
      <c r="M458" s="341"/>
      <c r="N458" s="341">
        <f t="shared" si="15"/>
        <v>20617.490000000002</v>
      </c>
      <c r="O458" s="341">
        <v>20617.490000000002</v>
      </c>
      <c r="P458" s="341"/>
    </row>
    <row r="459" spans="1:16">
      <c r="A459" s="177">
        <v>315</v>
      </c>
      <c r="B459" s="326">
        <v>200</v>
      </c>
      <c r="C459" s="326">
        <v>0</v>
      </c>
      <c r="D459" s="326">
        <v>0</v>
      </c>
      <c r="E459" s="326">
        <v>0</v>
      </c>
      <c r="F459" s="326">
        <v>0</v>
      </c>
      <c r="G459" s="331" t="s">
        <v>2762</v>
      </c>
      <c r="H459" s="331" t="s">
        <v>1077</v>
      </c>
      <c r="I459" s="326" t="s">
        <v>1078</v>
      </c>
      <c r="J459" s="325"/>
      <c r="K459" s="335">
        <f t="shared" si="14"/>
        <v>0</v>
      </c>
      <c r="L459" s="335">
        <v>0</v>
      </c>
      <c r="M459" s="335"/>
      <c r="N459" s="335">
        <f t="shared" si="15"/>
        <v>0</v>
      </c>
      <c r="O459" s="335">
        <v>0</v>
      </c>
      <c r="P459" s="335"/>
    </row>
    <row r="460" spans="1:16">
      <c r="A460" s="177">
        <v>315</v>
      </c>
      <c r="B460" s="326">
        <v>200</v>
      </c>
      <c r="C460" s="326">
        <v>100</v>
      </c>
      <c r="D460" s="326">
        <v>0</v>
      </c>
      <c r="E460" s="326">
        <v>0</v>
      </c>
      <c r="F460" s="326">
        <v>0</v>
      </c>
      <c r="G460" s="330" t="s">
        <v>2763</v>
      </c>
      <c r="H460" s="330" t="s">
        <v>1079</v>
      </c>
      <c r="I460" s="326" t="s">
        <v>1080</v>
      </c>
      <c r="J460" s="326"/>
      <c r="K460" s="334">
        <f t="shared" si="14"/>
        <v>1068724.97</v>
      </c>
      <c r="L460" s="334">
        <v>1068724.97</v>
      </c>
      <c r="M460" s="334"/>
      <c r="N460" s="334">
        <f t="shared" si="15"/>
        <v>1057490.55</v>
      </c>
      <c r="O460" s="334">
        <v>1057490.55</v>
      </c>
      <c r="P460" s="334"/>
    </row>
    <row r="461" spans="1:16">
      <c r="A461" s="177">
        <v>315</v>
      </c>
      <c r="B461" s="326">
        <v>200</v>
      </c>
      <c r="C461" s="326">
        <v>200</v>
      </c>
      <c r="D461" s="326">
        <v>0</v>
      </c>
      <c r="E461" s="326">
        <v>0</v>
      </c>
      <c r="F461" s="326">
        <v>0</v>
      </c>
      <c r="G461" s="331" t="s">
        <v>2764</v>
      </c>
      <c r="H461" s="331" t="s">
        <v>1081</v>
      </c>
      <c r="I461" s="326" t="s">
        <v>1082</v>
      </c>
      <c r="J461" s="325"/>
      <c r="K461" s="335">
        <f t="shared" si="14"/>
        <v>0</v>
      </c>
      <c r="L461" s="335">
        <v>0</v>
      </c>
      <c r="M461" s="335"/>
      <c r="N461" s="335">
        <f t="shared" si="15"/>
        <v>0</v>
      </c>
      <c r="O461" s="335">
        <v>0</v>
      </c>
      <c r="P461" s="335"/>
    </row>
    <row r="462" spans="1:16">
      <c r="A462" s="177">
        <v>315</v>
      </c>
      <c r="B462" s="326">
        <v>200</v>
      </c>
      <c r="C462" s="326">
        <v>200</v>
      </c>
      <c r="D462" s="326">
        <v>100</v>
      </c>
      <c r="E462" s="326">
        <v>0</v>
      </c>
      <c r="F462" s="326">
        <v>0</v>
      </c>
      <c r="G462" s="330" t="s">
        <v>2765</v>
      </c>
      <c r="H462" s="330" t="s">
        <v>1083</v>
      </c>
      <c r="I462" s="326"/>
      <c r="J462" s="326"/>
      <c r="K462" s="341">
        <f t="shared" si="14"/>
        <v>347459.82</v>
      </c>
      <c r="L462" s="341">
        <v>347459.82</v>
      </c>
      <c r="M462" s="341"/>
      <c r="N462" s="341">
        <f t="shared" si="15"/>
        <v>293801.09000000003</v>
      </c>
      <c r="O462" s="341">
        <v>293801.09000000003</v>
      </c>
      <c r="P462" s="341"/>
    </row>
    <row r="463" spans="1:16">
      <c r="A463" s="177">
        <v>315</v>
      </c>
      <c r="B463" s="326">
        <v>200</v>
      </c>
      <c r="C463" s="326">
        <v>200</v>
      </c>
      <c r="D463" s="326">
        <v>200</v>
      </c>
      <c r="E463" s="326">
        <v>0</v>
      </c>
      <c r="F463" s="326">
        <v>0</v>
      </c>
      <c r="G463" s="330" t="s">
        <v>2766</v>
      </c>
      <c r="H463" s="330" t="s">
        <v>1084</v>
      </c>
      <c r="I463" s="326"/>
      <c r="J463" s="326"/>
      <c r="K463" s="341">
        <f t="shared" si="14"/>
        <v>22191.16</v>
      </c>
      <c r="L463" s="341">
        <v>22191.16</v>
      </c>
      <c r="M463" s="341"/>
      <c r="N463" s="341">
        <f t="shared" si="15"/>
        <v>16855.330000000002</v>
      </c>
      <c r="O463" s="341">
        <v>16855.330000000002</v>
      </c>
      <c r="P463" s="341"/>
    </row>
    <row r="464" spans="1:16">
      <c r="A464" s="177">
        <v>315</v>
      </c>
      <c r="B464" s="326">
        <v>200</v>
      </c>
      <c r="C464" s="326">
        <v>200</v>
      </c>
      <c r="D464" s="326">
        <v>300</v>
      </c>
      <c r="E464" s="326">
        <v>0</v>
      </c>
      <c r="F464" s="326">
        <v>0</v>
      </c>
      <c r="G464" s="330" t="s">
        <v>2767</v>
      </c>
      <c r="H464" s="330" t="s">
        <v>1085</v>
      </c>
      <c r="I464" s="326"/>
      <c r="J464" s="326"/>
      <c r="K464" s="341">
        <f t="shared" si="14"/>
        <v>10743.99</v>
      </c>
      <c r="L464" s="341">
        <v>10743.99</v>
      </c>
      <c r="M464" s="341"/>
      <c r="N464" s="341">
        <f t="shared" si="15"/>
        <v>10743.96</v>
      </c>
      <c r="O464" s="341">
        <v>10743.96</v>
      </c>
      <c r="P464" s="341"/>
    </row>
    <row r="465" spans="1:16">
      <c r="A465" s="177">
        <v>315</v>
      </c>
      <c r="B465" s="326">
        <v>200</v>
      </c>
      <c r="C465" s="326">
        <v>200</v>
      </c>
      <c r="D465" s="326">
        <v>900</v>
      </c>
      <c r="E465" s="326">
        <v>0</v>
      </c>
      <c r="F465" s="326">
        <v>0</v>
      </c>
      <c r="G465" s="330" t="s">
        <v>2768</v>
      </c>
      <c r="H465" s="330" t="s">
        <v>1086</v>
      </c>
      <c r="I465" s="326"/>
      <c r="J465" s="326"/>
      <c r="K465" s="341">
        <f t="shared" si="14"/>
        <v>0</v>
      </c>
      <c r="L465" s="341">
        <v>0</v>
      </c>
      <c r="M465" s="341"/>
      <c r="N465" s="341">
        <f t="shared" si="15"/>
        <v>0</v>
      </c>
      <c r="O465" s="341">
        <v>0</v>
      </c>
      <c r="P465" s="341"/>
    </row>
    <row r="466" spans="1:16">
      <c r="A466" s="177">
        <v>315</v>
      </c>
      <c r="B466" s="326">
        <v>300</v>
      </c>
      <c r="C466" s="326">
        <v>0</v>
      </c>
      <c r="D466" s="326">
        <v>0</v>
      </c>
      <c r="E466" s="326">
        <v>0</v>
      </c>
      <c r="F466" s="326">
        <v>0</v>
      </c>
      <c r="G466" s="331" t="s">
        <v>2769</v>
      </c>
      <c r="H466" s="331" t="s">
        <v>1087</v>
      </c>
      <c r="I466" s="326" t="s">
        <v>1088</v>
      </c>
      <c r="J466" s="325"/>
      <c r="K466" s="335">
        <f t="shared" si="14"/>
        <v>0</v>
      </c>
      <c r="L466" s="335">
        <v>0</v>
      </c>
      <c r="M466" s="335"/>
      <c r="N466" s="335">
        <f t="shared" si="15"/>
        <v>0</v>
      </c>
      <c r="O466" s="335">
        <v>0</v>
      </c>
      <c r="P466" s="335"/>
    </row>
    <row r="467" spans="1:16">
      <c r="A467" s="177">
        <v>315</v>
      </c>
      <c r="B467" s="326">
        <v>300</v>
      </c>
      <c r="C467" s="326">
        <v>100</v>
      </c>
      <c r="D467" s="326">
        <v>0</v>
      </c>
      <c r="E467" s="326">
        <v>0</v>
      </c>
      <c r="F467" s="326">
        <v>0</v>
      </c>
      <c r="G467" s="331" t="s">
        <v>2770</v>
      </c>
      <c r="H467" s="331" t="s">
        <v>1089</v>
      </c>
      <c r="I467" s="326" t="s">
        <v>1090</v>
      </c>
      <c r="J467" s="325"/>
      <c r="K467" s="335">
        <f t="shared" si="14"/>
        <v>0</v>
      </c>
      <c r="L467" s="335">
        <v>0</v>
      </c>
      <c r="M467" s="335"/>
      <c r="N467" s="335">
        <f t="shared" si="15"/>
        <v>0</v>
      </c>
      <c r="O467" s="335">
        <v>0</v>
      </c>
      <c r="P467" s="335"/>
    </row>
    <row r="468" spans="1:16">
      <c r="A468" s="177">
        <v>315</v>
      </c>
      <c r="B468" s="326">
        <v>300</v>
      </c>
      <c r="C468" s="326">
        <v>100</v>
      </c>
      <c r="D468" s="326">
        <v>100</v>
      </c>
      <c r="E468" s="326">
        <v>0</v>
      </c>
      <c r="F468" s="326">
        <v>0</v>
      </c>
      <c r="G468" s="330" t="s">
        <v>2771</v>
      </c>
      <c r="H468" s="330" t="s">
        <v>1091</v>
      </c>
      <c r="I468" s="326"/>
      <c r="J468" s="326"/>
      <c r="K468" s="341">
        <f t="shared" si="14"/>
        <v>0</v>
      </c>
      <c r="L468" s="341">
        <v>0</v>
      </c>
      <c r="M468" s="341"/>
      <c r="N468" s="341">
        <f t="shared" si="15"/>
        <v>0</v>
      </c>
      <c r="O468" s="341">
        <v>0</v>
      </c>
      <c r="P468" s="341"/>
    </row>
    <row r="469" spans="1:16">
      <c r="A469" s="177">
        <v>315</v>
      </c>
      <c r="B469" s="326">
        <v>300</v>
      </c>
      <c r="C469" s="326">
        <v>100</v>
      </c>
      <c r="D469" s="326">
        <v>200</v>
      </c>
      <c r="E469" s="326">
        <v>0</v>
      </c>
      <c r="F469" s="326">
        <v>0</v>
      </c>
      <c r="G469" s="330" t="s">
        <v>2772</v>
      </c>
      <c r="H469" s="330" t="s">
        <v>1092</v>
      </c>
      <c r="I469" s="326"/>
      <c r="J469" s="326"/>
      <c r="K469" s="341">
        <f t="shared" si="14"/>
        <v>44318.54</v>
      </c>
      <c r="L469" s="341">
        <v>44318.54</v>
      </c>
      <c r="M469" s="341"/>
      <c r="N469" s="341">
        <f t="shared" si="15"/>
        <v>46702.29</v>
      </c>
      <c r="O469" s="341">
        <v>46702.29</v>
      </c>
      <c r="P469" s="341"/>
    </row>
    <row r="470" spans="1:16">
      <c r="A470" s="177">
        <v>315</v>
      </c>
      <c r="B470" s="326">
        <v>300</v>
      </c>
      <c r="C470" s="326">
        <v>200</v>
      </c>
      <c r="D470" s="326">
        <v>0</v>
      </c>
      <c r="E470" s="326">
        <v>0</v>
      </c>
      <c r="F470" s="326">
        <v>0</v>
      </c>
      <c r="G470" s="331" t="s">
        <v>2773</v>
      </c>
      <c r="H470" s="331" t="s">
        <v>1093</v>
      </c>
      <c r="I470" s="326" t="s">
        <v>1094</v>
      </c>
      <c r="J470" s="325"/>
      <c r="K470" s="335">
        <f t="shared" si="14"/>
        <v>0</v>
      </c>
      <c r="L470" s="335">
        <v>0</v>
      </c>
      <c r="M470" s="335"/>
      <c r="N470" s="335">
        <f t="shared" si="15"/>
        <v>0</v>
      </c>
      <c r="O470" s="335">
        <v>0</v>
      </c>
      <c r="P470" s="335"/>
    </row>
    <row r="471" spans="1:16">
      <c r="A471" s="177">
        <v>315</v>
      </c>
      <c r="B471" s="326">
        <v>300</v>
      </c>
      <c r="C471" s="326">
        <v>200</v>
      </c>
      <c r="D471" s="326">
        <v>100</v>
      </c>
      <c r="E471" s="326">
        <v>0</v>
      </c>
      <c r="F471" s="326">
        <v>0</v>
      </c>
      <c r="G471" s="330" t="s">
        <v>2774</v>
      </c>
      <c r="H471" s="330" t="s">
        <v>1091</v>
      </c>
      <c r="I471" s="326"/>
      <c r="J471" s="326"/>
      <c r="K471" s="341">
        <f t="shared" si="14"/>
        <v>0</v>
      </c>
      <c r="L471" s="341">
        <v>0</v>
      </c>
      <c r="M471" s="341"/>
      <c r="N471" s="341">
        <f t="shared" si="15"/>
        <v>0</v>
      </c>
      <c r="O471" s="341">
        <v>0</v>
      </c>
      <c r="P471" s="341"/>
    </row>
    <row r="472" spans="1:16">
      <c r="A472" s="177">
        <v>315</v>
      </c>
      <c r="B472" s="326">
        <v>300</v>
      </c>
      <c r="C472" s="326">
        <v>200</v>
      </c>
      <c r="D472" s="326">
        <v>200</v>
      </c>
      <c r="E472" s="326">
        <v>0</v>
      </c>
      <c r="F472" s="326">
        <v>0</v>
      </c>
      <c r="G472" s="330" t="s">
        <v>2775</v>
      </c>
      <c r="H472" s="330" t="s">
        <v>1092</v>
      </c>
      <c r="I472" s="326"/>
      <c r="J472" s="326"/>
      <c r="K472" s="341">
        <f t="shared" si="14"/>
        <v>0</v>
      </c>
      <c r="L472" s="341">
        <v>0</v>
      </c>
      <c r="M472" s="341"/>
      <c r="N472" s="341">
        <f t="shared" si="15"/>
        <v>0</v>
      </c>
      <c r="O472" s="341">
        <v>0</v>
      </c>
      <c r="P472" s="341"/>
    </row>
    <row r="473" spans="1:16">
      <c r="A473" s="177">
        <v>315</v>
      </c>
      <c r="B473" s="326">
        <v>350</v>
      </c>
      <c r="C473" s="326">
        <v>0</v>
      </c>
      <c r="D473" s="326">
        <v>0</v>
      </c>
      <c r="E473" s="326">
        <v>0</v>
      </c>
      <c r="F473" s="326">
        <v>0</v>
      </c>
      <c r="G473" s="330" t="s">
        <v>2776</v>
      </c>
      <c r="H473" s="330" t="s">
        <v>1095</v>
      </c>
      <c r="I473" s="332" t="s">
        <v>1096</v>
      </c>
      <c r="J473" s="332"/>
      <c r="K473" s="334">
        <f t="shared" si="14"/>
        <v>251824.44</v>
      </c>
      <c r="L473" s="334">
        <v>251824.44</v>
      </c>
      <c r="M473" s="334"/>
      <c r="N473" s="334">
        <f t="shared" si="15"/>
        <v>251824.44</v>
      </c>
      <c r="O473" s="334">
        <v>251824.44</v>
      </c>
      <c r="P473" s="334"/>
    </row>
    <row r="474" spans="1:16" ht="25.5">
      <c r="A474" s="177">
        <v>315</v>
      </c>
      <c r="B474" s="326">
        <v>400</v>
      </c>
      <c r="C474" s="326">
        <v>0</v>
      </c>
      <c r="D474" s="326">
        <v>0</v>
      </c>
      <c r="E474" s="326">
        <v>0</v>
      </c>
      <c r="F474" s="326">
        <v>0</v>
      </c>
      <c r="G474" s="330" t="s">
        <v>2777</v>
      </c>
      <c r="H474" s="330" t="s">
        <v>1097</v>
      </c>
      <c r="I474" s="332" t="s">
        <v>1098</v>
      </c>
      <c r="J474" s="332" t="s">
        <v>1529</v>
      </c>
      <c r="K474" s="334">
        <f t="shared" si="14"/>
        <v>0</v>
      </c>
      <c r="L474" s="334">
        <v>0</v>
      </c>
      <c r="M474" s="334"/>
      <c r="N474" s="334">
        <f t="shared" si="15"/>
        <v>0</v>
      </c>
      <c r="O474" s="334">
        <v>0</v>
      </c>
      <c r="P474" s="334"/>
    </row>
    <row r="475" spans="1:16">
      <c r="A475" s="403">
        <v>320</v>
      </c>
      <c r="B475" s="404">
        <v>0</v>
      </c>
      <c r="C475" s="404">
        <v>0</v>
      </c>
      <c r="D475" s="404">
        <v>0</v>
      </c>
      <c r="E475" s="404">
        <v>0</v>
      </c>
      <c r="F475" s="404">
        <v>0</v>
      </c>
      <c r="G475" s="339">
        <v>320</v>
      </c>
      <c r="H475" s="339" t="s">
        <v>1099</v>
      </c>
      <c r="I475" s="55" t="s">
        <v>1100</v>
      </c>
      <c r="J475" s="55"/>
      <c r="K475" s="346">
        <f t="shared" si="14"/>
        <v>0</v>
      </c>
      <c r="L475" s="346">
        <v>0</v>
      </c>
      <c r="M475" s="346"/>
      <c r="N475" s="346">
        <f t="shared" si="15"/>
        <v>0</v>
      </c>
      <c r="O475" s="346">
        <v>0</v>
      </c>
      <c r="P475" s="346"/>
    </row>
    <row r="476" spans="1:16">
      <c r="A476" s="177">
        <v>320</v>
      </c>
      <c r="B476" s="326">
        <v>100</v>
      </c>
      <c r="C476" s="326">
        <v>0</v>
      </c>
      <c r="D476" s="326">
        <v>0</v>
      </c>
      <c r="E476" s="326">
        <v>0</v>
      </c>
      <c r="F476" s="326">
        <v>0</v>
      </c>
      <c r="G476" s="331" t="s">
        <v>2778</v>
      </c>
      <c r="H476" s="331" t="s">
        <v>1101</v>
      </c>
      <c r="I476" s="326" t="s">
        <v>1102</v>
      </c>
      <c r="J476" s="325"/>
      <c r="K476" s="335">
        <f t="shared" si="14"/>
        <v>0</v>
      </c>
      <c r="L476" s="335">
        <v>0</v>
      </c>
      <c r="M476" s="335"/>
      <c r="N476" s="335">
        <f t="shared" si="15"/>
        <v>0</v>
      </c>
      <c r="O476" s="335">
        <v>0</v>
      </c>
      <c r="P476" s="335"/>
    </row>
    <row r="477" spans="1:16">
      <c r="A477" s="177">
        <v>320</v>
      </c>
      <c r="B477" s="326">
        <v>100</v>
      </c>
      <c r="C477" s="326">
        <v>100</v>
      </c>
      <c r="D477" s="326">
        <v>0</v>
      </c>
      <c r="E477" s="326">
        <v>0</v>
      </c>
      <c r="F477" s="326">
        <v>0</v>
      </c>
      <c r="G477" s="331" t="s">
        <v>2779</v>
      </c>
      <c r="H477" s="331" t="s">
        <v>1103</v>
      </c>
      <c r="I477" s="326" t="s">
        <v>1104</v>
      </c>
      <c r="J477" s="325"/>
      <c r="K477" s="335">
        <f t="shared" si="14"/>
        <v>0</v>
      </c>
      <c r="L477" s="335">
        <v>0</v>
      </c>
      <c r="M477" s="335"/>
      <c r="N477" s="335">
        <f t="shared" si="15"/>
        <v>0</v>
      </c>
      <c r="O477" s="335">
        <v>0</v>
      </c>
      <c r="P477" s="335"/>
    </row>
    <row r="478" spans="1:16">
      <c r="A478" s="177">
        <v>320</v>
      </c>
      <c r="B478" s="326">
        <v>100</v>
      </c>
      <c r="C478" s="326">
        <v>100</v>
      </c>
      <c r="D478" s="326">
        <v>100</v>
      </c>
      <c r="E478" s="326">
        <v>0</v>
      </c>
      <c r="F478" s="326">
        <v>0</v>
      </c>
      <c r="G478" s="331" t="s">
        <v>2780</v>
      </c>
      <c r="H478" s="331" t="s">
        <v>1105</v>
      </c>
      <c r="I478" s="326" t="s">
        <v>1106</v>
      </c>
      <c r="J478" s="325"/>
      <c r="K478" s="335">
        <f t="shared" si="14"/>
        <v>0</v>
      </c>
      <c r="L478" s="335">
        <v>0</v>
      </c>
      <c r="M478" s="335"/>
      <c r="N478" s="335">
        <f t="shared" si="15"/>
        <v>0</v>
      </c>
      <c r="O478" s="335">
        <v>0</v>
      </c>
      <c r="P478" s="335"/>
    </row>
    <row r="479" spans="1:16">
      <c r="A479" s="177">
        <v>320</v>
      </c>
      <c r="B479" s="326">
        <v>100</v>
      </c>
      <c r="C479" s="326">
        <v>100</v>
      </c>
      <c r="D479" s="326">
        <v>100</v>
      </c>
      <c r="E479" s="326">
        <v>10</v>
      </c>
      <c r="F479" s="326">
        <v>0</v>
      </c>
      <c r="G479" s="347" t="s">
        <v>2781</v>
      </c>
      <c r="H479" s="330" t="s">
        <v>1107</v>
      </c>
      <c r="I479" s="326"/>
      <c r="J479" s="326"/>
      <c r="K479" s="334">
        <f t="shared" si="14"/>
        <v>7782894.6200000001</v>
      </c>
      <c r="L479" s="334">
        <v>7782894.6200000001</v>
      </c>
      <c r="M479" s="334"/>
      <c r="N479" s="334">
        <f t="shared" si="15"/>
        <v>7605291.1600000001</v>
      </c>
      <c r="O479" s="334">
        <v>7605291.1600000001</v>
      </c>
      <c r="P479" s="334"/>
    </row>
    <row r="480" spans="1:16">
      <c r="A480" s="177">
        <v>320</v>
      </c>
      <c r="B480" s="326">
        <v>100</v>
      </c>
      <c r="C480" s="326">
        <v>100</v>
      </c>
      <c r="D480" s="326">
        <v>100</v>
      </c>
      <c r="E480" s="326">
        <v>20</v>
      </c>
      <c r="F480" s="326">
        <v>0</v>
      </c>
      <c r="G480" s="347" t="s">
        <v>2782</v>
      </c>
      <c r="H480" s="330" t="s">
        <v>1108</v>
      </c>
      <c r="I480" s="326"/>
      <c r="J480" s="326"/>
      <c r="K480" s="334">
        <f t="shared" si="14"/>
        <v>2565036.9</v>
      </c>
      <c r="L480" s="334">
        <v>2565036.9</v>
      </c>
      <c r="M480" s="334"/>
      <c r="N480" s="334">
        <f t="shared" si="15"/>
        <v>2631300.7599999998</v>
      </c>
      <c r="O480" s="334">
        <v>2631300.7599999998</v>
      </c>
      <c r="P480" s="334"/>
    </row>
    <row r="481" spans="1:16">
      <c r="A481" s="177">
        <v>320</v>
      </c>
      <c r="B481" s="326">
        <v>100</v>
      </c>
      <c r="C481" s="326">
        <v>100</v>
      </c>
      <c r="D481" s="326">
        <v>100</v>
      </c>
      <c r="E481" s="326">
        <v>30</v>
      </c>
      <c r="F481" s="326">
        <v>0</v>
      </c>
      <c r="G481" s="348" t="s">
        <v>2783</v>
      </c>
      <c r="H481" s="331" t="s">
        <v>1109</v>
      </c>
      <c r="I481" s="326"/>
      <c r="J481" s="325"/>
      <c r="K481" s="335">
        <f t="shared" si="14"/>
        <v>0</v>
      </c>
      <c r="L481" s="335">
        <v>0</v>
      </c>
      <c r="M481" s="335"/>
      <c r="N481" s="335">
        <f t="shared" si="15"/>
        <v>0</v>
      </c>
      <c r="O481" s="335">
        <v>0</v>
      </c>
      <c r="P481" s="335"/>
    </row>
    <row r="482" spans="1:16">
      <c r="A482" s="177">
        <v>320</v>
      </c>
      <c r="B482" s="326">
        <v>100</v>
      </c>
      <c r="C482" s="326">
        <v>100</v>
      </c>
      <c r="D482" s="326">
        <v>100</v>
      </c>
      <c r="E482" s="326">
        <v>30</v>
      </c>
      <c r="F482" s="326">
        <v>5</v>
      </c>
      <c r="G482" s="347" t="s">
        <v>2784</v>
      </c>
      <c r="H482" s="330" t="s">
        <v>1110</v>
      </c>
      <c r="I482" s="326"/>
      <c r="J482" s="326"/>
      <c r="K482" s="334">
        <f t="shared" si="14"/>
        <v>638512.30000000005</v>
      </c>
      <c r="L482" s="334">
        <v>638512.30000000005</v>
      </c>
      <c r="M482" s="334"/>
      <c r="N482" s="334">
        <f t="shared" si="15"/>
        <v>504662.31</v>
      </c>
      <c r="O482" s="334">
        <v>504662.31</v>
      </c>
      <c r="P482" s="334"/>
    </row>
    <row r="483" spans="1:16">
      <c r="A483" s="177">
        <v>320</v>
      </c>
      <c r="B483" s="326">
        <v>100</v>
      </c>
      <c r="C483" s="326">
        <v>100</v>
      </c>
      <c r="D483" s="326">
        <v>100</v>
      </c>
      <c r="E483" s="326">
        <v>40</v>
      </c>
      <c r="F483" s="326">
        <v>0</v>
      </c>
      <c r="G483" s="348" t="s">
        <v>2785</v>
      </c>
      <c r="H483" s="331" t="s">
        <v>1112</v>
      </c>
      <c r="I483" s="326"/>
      <c r="J483" s="325"/>
      <c r="K483" s="335">
        <f t="shared" si="14"/>
        <v>0</v>
      </c>
      <c r="L483" s="335">
        <v>0</v>
      </c>
      <c r="M483" s="335"/>
      <c r="N483" s="335">
        <f t="shared" si="15"/>
        <v>0</v>
      </c>
      <c r="O483" s="335">
        <v>0</v>
      </c>
      <c r="P483" s="335"/>
    </row>
    <row r="484" spans="1:16" ht="25.5">
      <c r="A484" s="177">
        <v>320</v>
      </c>
      <c r="B484" s="326">
        <v>100</v>
      </c>
      <c r="C484" s="326">
        <v>100</v>
      </c>
      <c r="D484" s="326">
        <v>100</v>
      </c>
      <c r="E484" s="326">
        <v>40</v>
      </c>
      <c r="F484" s="326">
        <v>5</v>
      </c>
      <c r="G484" s="347" t="s">
        <v>2786</v>
      </c>
      <c r="H484" s="330" t="s">
        <v>1113</v>
      </c>
      <c r="I484" s="326"/>
      <c r="J484" s="326"/>
      <c r="K484" s="334">
        <f t="shared" si="14"/>
        <v>829605.47</v>
      </c>
      <c r="L484" s="334">
        <v>829605.47</v>
      </c>
      <c r="M484" s="334"/>
      <c r="N484" s="334">
        <f t="shared" si="15"/>
        <v>508316.61</v>
      </c>
      <c r="O484" s="334">
        <v>508316.61</v>
      </c>
      <c r="P484" s="334"/>
    </row>
    <row r="485" spans="1:16">
      <c r="A485" s="177">
        <v>320</v>
      </c>
      <c r="B485" s="326">
        <v>100</v>
      </c>
      <c r="C485" s="326">
        <v>100</v>
      </c>
      <c r="D485" s="326">
        <v>100</v>
      </c>
      <c r="E485" s="326">
        <v>50</v>
      </c>
      <c r="F485" s="326">
        <v>0</v>
      </c>
      <c r="G485" s="348" t="s">
        <v>2787</v>
      </c>
      <c r="H485" s="331" t="s">
        <v>1115</v>
      </c>
      <c r="I485" s="326"/>
      <c r="J485" s="325"/>
      <c r="K485" s="335">
        <f t="shared" si="14"/>
        <v>0</v>
      </c>
      <c r="L485" s="335">
        <v>0</v>
      </c>
      <c r="M485" s="335"/>
      <c r="N485" s="335">
        <f t="shared" si="15"/>
        <v>0</v>
      </c>
      <c r="O485" s="335">
        <v>0</v>
      </c>
      <c r="P485" s="335"/>
    </row>
    <row r="486" spans="1:16">
      <c r="A486" s="177">
        <v>320</v>
      </c>
      <c r="B486" s="326">
        <v>100</v>
      </c>
      <c r="C486" s="326">
        <v>100</v>
      </c>
      <c r="D486" s="326">
        <v>100</v>
      </c>
      <c r="E486" s="326">
        <v>50</v>
      </c>
      <c r="F486" s="326">
        <v>5</v>
      </c>
      <c r="G486" s="347" t="s">
        <v>2788</v>
      </c>
      <c r="H486" s="330" t="s">
        <v>1116</v>
      </c>
      <c r="I486" s="326"/>
      <c r="J486" s="326"/>
      <c r="K486" s="334">
        <f t="shared" si="14"/>
        <v>0</v>
      </c>
      <c r="L486" s="334">
        <v>0</v>
      </c>
      <c r="M486" s="334"/>
      <c r="N486" s="334">
        <f t="shared" si="15"/>
        <v>0</v>
      </c>
      <c r="O486" s="334">
        <v>0</v>
      </c>
      <c r="P486" s="334"/>
    </row>
    <row r="487" spans="1:16">
      <c r="A487" s="177">
        <v>320</v>
      </c>
      <c r="B487" s="326">
        <v>100</v>
      </c>
      <c r="C487" s="326">
        <v>100</v>
      </c>
      <c r="D487" s="326">
        <v>100</v>
      </c>
      <c r="E487" s="326">
        <v>50</v>
      </c>
      <c r="F487" s="326">
        <v>10</v>
      </c>
      <c r="G487" s="347" t="s">
        <v>2789</v>
      </c>
      <c r="H487" s="330" t="s">
        <v>1117</v>
      </c>
      <c r="I487" s="326"/>
      <c r="J487" s="326"/>
      <c r="K487" s="334">
        <f t="shared" si="14"/>
        <v>0</v>
      </c>
      <c r="L487" s="334">
        <v>0</v>
      </c>
      <c r="M487" s="334"/>
      <c r="N487" s="334">
        <f t="shared" si="15"/>
        <v>0</v>
      </c>
      <c r="O487" s="334">
        <v>0</v>
      </c>
      <c r="P487" s="334"/>
    </row>
    <row r="488" spans="1:16">
      <c r="A488" s="177">
        <v>320</v>
      </c>
      <c r="B488" s="326">
        <v>100</v>
      </c>
      <c r="C488" s="326">
        <v>100</v>
      </c>
      <c r="D488" s="326">
        <v>100</v>
      </c>
      <c r="E488" s="326">
        <v>50</v>
      </c>
      <c r="F488" s="326">
        <v>15</v>
      </c>
      <c r="G488" s="347" t="s">
        <v>2790</v>
      </c>
      <c r="H488" s="330" t="s">
        <v>1118</v>
      </c>
      <c r="I488" s="326"/>
      <c r="J488" s="326"/>
      <c r="K488" s="334">
        <f t="shared" si="14"/>
        <v>6753.25</v>
      </c>
      <c r="L488" s="334">
        <v>6753.25</v>
      </c>
      <c r="M488" s="334"/>
      <c r="N488" s="334">
        <f t="shared" si="15"/>
        <v>13141.53</v>
      </c>
      <c r="O488" s="334">
        <v>13141.53</v>
      </c>
      <c r="P488" s="334"/>
    </row>
    <row r="489" spans="1:16">
      <c r="A489" s="177">
        <v>320</v>
      </c>
      <c r="B489" s="326">
        <v>100</v>
      </c>
      <c r="C489" s="326">
        <v>100</v>
      </c>
      <c r="D489" s="326">
        <v>100</v>
      </c>
      <c r="E489" s="326">
        <v>90</v>
      </c>
      <c r="F489" s="326">
        <v>0</v>
      </c>
      <c r="G489" s="348" t="s">
        <v>2791</v>
      </c>
      <c r="H489" s="331" t="s">
        <v>1120</v>
      </c>
      <c r="I489" s="326"/>
      <c r="J489" s="325"/>
      <c r="K489" s="335">
        <f t="shared" si="14"/>
        <v>0</v>
      </c>
      <c r="L489" s="335">
        <v>0</v>
      </c>
      <c r="M489" s="335"/>
      <c r="N489" s="335">
        <f t="shared" si="15"/>
        <v>0</v>
      </c>
      <c r="O489" s="335">
        <v>0</v>
      </c>
      <c r="P489" s="335"/>
    </row>
    <row r="490" spans="1:16">
      <c r="A490" s="177">
        <v>320</v>
      </c>
      <c r="B490" s="326">
        <v>100</v>
      </c>
      <c r="C490" s="326">
        <v>100</v>
      </c>
      <c r="D490" s="326">
        <v>100</v>
      </c>
      <c r="E490" s="326">
        <v>90</v>
      </c>
      <c r="F490" s="326">
        <v>5</v>
      </c>
      <c r="G490" s="347" t="s">
        <v>2792</v>
      </c>
      <c r="H490" s="330" t="s">
        <v>1121</v>
      </c>
      <c r="I490" s="326"/>
      <c r="J490" s="326"/>
      <c r="K490" s="334">
        <f t="shared" si="14"/>
        <v>3406656.52</v>
      </c>
      <c r="L490" s="334">
        <v>3406656.52</v>
      </c>
      <c r="M490" s="334"/>
      <c r="N490" s="334">
        <f t="shared" si="15"/>
        <v>3229346.66</v>
      </c>
      <c r="O490" s="334">
        <v>3229346.66</v>
      </c>
      <c r="P490" s="334"/>
    </row>
    <row r="491" spans="1:16">
      <c r="A491" s="177">
        <v>320</v>
      </c>
      <c r="B491" s="326">
        <v>100</v>
      </c>
      <c r="C491" s="326">
        <v>100</v>
      </c>
      <c r="D491" s="326">
        <v>200</v>
      </c>
      <c r="E491" s="326">
        <v>0</v>
      </c>
      <c r="F491" s="326">
        <v>0</v>
      </c>
      <c r="G491" s="331" t="s">
        <v>2793</v>
      </c>
      <c r="H491" s="331" t="s">
        <v>1123</v>
      </c>
      <c r="I491" s="326" t="s">
        <v>1124</v>
      </c>
      <c r="J491" s="325"/>
      <c r="K491" s="335">
        <f t="shared" si="14"/>
        <v>0</v>
      </c>
      <c r="L491" s="335">
        <v>0</v>
      </c>
      <c r="M491" s="335"/>
      <c r="N491" s="335">
        <f t="shared" si="15"/>
        <v>0</v>
      </c>
      <c r="O491" s="335">
        <v>0</v>
      </c>
      <c r="P491" s="335"/>
    </row>
    <row r="492" spans="1:16">
      <c r="A492" s="177">
        <v>320</v>
      </c>
      <c r="B492" s="326">
        <v>100</v>
      </c>
      <c r="C492" s="326">
        <v>100</v>
      </c>
      <c r="D492" s="326">
        <v>200</v>
      </c>
      <c r="E492" s="326">
        <v>10</v>
      </c>
      <c r="F492" s="326">
        <v>0</v>
      </c>
      <c r="G492" s="347" t="s">
        <v>2794</v>
      </c>
      <c r="H492" s="330" t="s">
        <v>1107</v>
      </c>
      <c r="I492" s="326"/>
      <c r="J492" s="326"/>
      <c r="K492" s="334">
        <f t="shared" si="14"/>
        <v>903782.41</v>
      </c>
      <c r="L492" s="334">
        <v>903782.41</v>
      </c>
      <c r="M492" s="334"/>
      <c r="N492" s="334">
        <f t="shared" si="15"/>
        <v>823857.73</v>
      </c>
      <c r="O492" s="334">
        <v>823857.73</v>
      </c>
      <c r="P492" s="334"/>
    </row>
    <row r="493" spans="1:16">
      <c r="A493" s="177">
        <v>320</v>
      </c>
      <c r="B493" s="326">
        <v>100</v>
      </c>
      <c r="C493" s="326">
        <v>100</v>
      </c>
      <c r="D493" s="326">
        <v>200</v>
      </c>
      <c r="E493" s="326">
        <v>20</v>
      </c>
      <c r="F493" s="326">
        <v>0</v>
      </c>
      <c r="G493" s="347" t="s">
        <v>2795</v>
      </c>
      <c r="H493" s="330" t="s">
        <v>1108</v>
      </c>
      <c r="I493" s="326"/>
      <c r="J493" s="326"/>
      <c r="K493" s="334">
        <f t="shared" si="14"/>
        <v>194608.77</v>
      </c>
      <c r="L493" s="334">
        <v>194608.77</v>
      </c>
      <c r="M493" s="334"/>
      <c r="N493" s="334">
        <f t="shared" si="15"/>
        <v>186795.53</v>
      </c>
      <c r="O493" s="334">
        <v>186795.53</v>
      </c>
      <c r="P493" s="334"/>
    </row>
    <row r="494" spans="1:16">
      <c r="A494" s="177">
        <v>320</v>
      </c>
      <c r="B494" s="326">
        <v>100</v>
      </c>
      <c r="C494" s="326">
        <v>100</v>
      </c>
      <c r="D494" s="326">
        <v>200</v>
      </c>
      <c r="E494" s="326">
        <v>30</v>
      </c>
      <c r="F494" s="326">
        <v>0</v>
      </c>
      <c r="G494" s="348" t="s">
        <v>2796</v>
      </c>
      <c r="H494" s="331" t="s">
        <v>1109</v>
      </c>
      <c r="I494" s="326"/>
      <c r="J494" s="325"/>
      <c r="K494" s="335">
        <f t="shared" si="14"/>
        <v>0</v>
      </c>
      <c r="L494" s="335">
        <v>0</v>
      </c>
      <c r="M494" s="335"/>
      <c r="N494" s="335">
        <f t="shared" si="15"/>
        <v>0</v>
      </c>
      <c r="O494" s="335">
        <v>0</v>
      </c>
      <c r="P494" s="335"/>
    </row>
    <row r="495" spans="1:16">
      <c r="A495" s="177">
        <v>320</v>
      </c>
      <c r="B495" s="326">
        <v>100</v>
      </c>
      <c r="C495" s="326">
        <v>100</v>
      </c>
      <c r="D495" s="326">
        <v>200</v>
      </c>
      <c r="E495" s="326">
        <v>30</v>
      </c>
      <c r="F495" s="326">
        <v>5</v>
      </c>
      <c r="G495" s="347" t="s">
        <v>2797</v>
      </c>
      <c r="H495" s="330" t="s">
        <v>1110</v>
      </c>
      <c r="I495" s="326"/>
      <c r="J495" s="326"/>
      <c r="K495" s="334">
        <f t="shared" si="14"/>
        <v>72972.83</v>
      </c>
      <c r="L495" s="334">
        <v>72972.83</v>
      </c>
      <c r="M495" s="334"/>
      <c r="N495" s="334">
        <f t="shared" si="15"/>
        <v>55226.67</v>
      </c>
      <c r="O495" s="334">
        <v>55226.67</v>
      </c>
      <c r="P495" s="334"/>
    </row>
    <row r="496" spans="1:16">
      <c r="A496" s="177">
        <v>320</v>
      </c>
      <c r="B496" s="326">
        <v>100</v>
      </c>
      <c r="C496" s="326">
        <v>100</v>
      </c>
      <c r="D496" s="326">
        <v>200</v>
      </c>
      <c r="E496" s="326">
        <v>40</v>
      </c>
      <c r="F496" s="326">
        <v>0</v>
      </c>
      <c r="G496" s="348" t="s">
        <v>2798</v>
      </c>
      <c r="H496" s="331" t="s">
        <v>1112</v>
      </c>
      <c r="I496" s="326"/>
      <c r="J496" s="325"/>
      <c r="K496" s="335">
        <f t="shared" si="14"/>
        <v>0</v>
      </c>
      <c r="L496" s="335">
        <v>0</v>
      </c>
      <c r="M496" s="335"/>
      <c r="N496" s="335">
        <f t="shared" si="15"/>
        <v>0</v>
      </c>
      <c r="O496" s="335">
        <v>0</v>
      </c>
      <c r="P496" s="335"/>
    </row>
    <row r="497" spans="1:16" ht="25.5">
      <c r="A497" s="177">
        <v>320</v>
      </c>
      <c r="B497" s="326">
        <v>100</v>
      </c>
      <c r="C497" s="326">
        <v>100</v>
      </c>
      <c r="D497" s="326">
        <v>200</v>
      </c>
      <c r="E497" s="326">
        <v>40</v>
      </c>
      <c r="F497" s="326">
        <v>5</v>
      </c>
      <c r="G497" s="347" t="s">
        <v>2799</v>
      </c>
      <c r="H497" s="330" t="s">
        <v>1113</v>
      </c>
      <c r="I497" s="326"/>
      <c r="J497" s="326"/>
      <c r="K497" s="334">
        <f t="shared" si="14"/>
        <v>116271.08</v>
      </c>
      <c r="L497" s="334">
        <v>116271.08</v>
      </c>
      <c r="M497" s="334"/>
      <c r="N497" s="334">
        <f t="shared" si="15"/>
        <v>81936.91</v>
      </c>
      <c r="O497" s="334">
        <v>81936.91</v>
      </c>
      <c r="P497" s="334"/>
    </row>
    <row r="498" spans="1:16">
      <c r="A498" s="177">
        <v>320</v>
      </c>
      <c r="B498" s="326">
        <v>100</v>
      </c>
      <c r="C498" s="326">
        <v>100</v>
      </c>
      <c r="D498" s="326">
        <v>200</v>
      </c>
      <c r="E498" s="326">
        <v>50</v>
      </c>
      <c r="F498" s="326">
        <v>0</v>
      </c>
      <c r="G498" s="348" t="s">
        <v>2800</v>
      </c>
      <c r="H498" s="331" t="s">
        <v>1115</v>
      </c>
      <c r="I498" s="326"/>
      <c r="J498" s="325"/>
      <c r="K498" s="335">
        <f t="shared" si="14"/>
        <v>0</v>
      </c>
      <c r="L498" s="335">
        <v>0</v>
      </c>
      <c r="M498" s="335"/>
      <c r="N498" s="335">
        <f t="shared" si="15"/>
        <v>0</v>
      </c>
      <c r="O498" s="335">
        <v>0</v>
      </c>
      <c r="P498" s="335"/>
    </row>
    <row r="499" spans="1:16">
      <c r="A499" s="177">
        <v>320</v>
      </c>
      <c r="B499" s="326">
        <v>100</v>
      </c>
      <c r="C499" s="326">
        <v>100</v>
      </c>
      <c r="D499" s="326">
        <v>200</v>
      </c>
      <c r="E499" s="326">
        <v>50</v>
      </c>
      <c r="F499" s="326">
        <v>5</v>
      </c>
      <c r="G499" s="347" t="s">
        <v>2801</v>
      </c>
      <c r="H499" s="330" t="s">
        <v>1116</v>
      </c>
      <c r="I499" s="326"/>
      <c r="J499" s="326"/>
      <c r="K499" s="334">
        <f t="shared" si="14"/>
        <v>0</v>
      </c>
      <c r="L499" s="334">
        <v>0</v>
      </c>
      <c r="M499" s="334"/>
      <c r="N499" s="334">
        <f t="shared" si="15"/>
        <v>0</v>
      </c>
      <c r="O499" s="334">
        <v>0</v>
      </c>
      <c r="P499" s="334"/>
    </row>
    <row r="500" spans="1:16">
      <c r="A500" s="177">
        <v>320</v>
      </c>
      <c r="B500" s="326">
        <v>100</v>
      </c>
      <c r="C500" s="326">
        <v>100</v>
      </c>
      <c r="D500" s="326">
        <v>200</v>
      </c>
      <c r="E500" s="326">
        <v>50</v>
      </c>
      <c r="F500" s="326">
        <v>10</v>
      </c>
      <c r="G500" s="347" t="s">
        <v>2802</v>
      </c>
      <c r="H500" s="330" t="s">
        <v>1117</v>
      </c>
      <c r="I500" s="326"/>
      <c r="J500" s="326"/>
      <c r="K500" s="334">
        <f t="shared" si="14"/>
        <v>0</v>
      </c>
      <c r="L500" s="334">
        <v>0</v>
      </c>
      <c r="M500" s="334"/>
      <c r="N500" s="334">
        <f t="shared" si="15"/>
        <v>0</v>
      </c>
      <c r="O500" s="334">
        <v>0</v>
      </c>
      <c r="P500" s="334"/>
    </row>
    <row r="501" spans="1:16">
      <c r="A501" s="177">
        <v>320</v>
      </c>
      <c r="B501" s="326">
        <v>100</v>
      </c>
      <c r="C501" s="326">
        <v>100</v>
      </c>
      <c r="D501" s="326">
        <v>200</v>
      </c>
      <c r="E501" s="326">
        <v>50</v>
      </c>
      <c r="F501" s="326">
        <v>15</v>
      </c>
      <c r="G501" s="347" t="s">
        <v>2803</v>
      </c>
      <c r="H501" s="330" t="s">
        <v>1118</v>
      </c>
      <c r="I501" s="326"/>
      <c r="J501" s="326"/>
      <c r="K501" s="334">
        <f t="shared" si="14"/>
        <v>611.33000000000004</v>
      </c>
      <c r="L501" s="334">
        <v>611.33000000000004</v>
      </c>
      <c r="M501" s="334"/>
      <c r="N501" s="334">
        <f t="shared" si="15"/>
        <v>34.299999999999997</v>
      </c>
      <c r="O501" s="334">
        <v>34.299999999999997</v>
      </c>
      <c r="P501" s="334"/>
    </row>
    <row r="502" spans="1:16">
      <c r="A502" s="177">
        <v>320</v>
      </c>
      <c r="B502" s="326">
        <v>100</v>
      </c>
      <c r="C502" s="326">
        <v>100</v>
      </c>
      <c r="D502" s="326">
        <v>200</v>
      </c>
      <c r="E502" s="326">
        <v>90</v>
      </c>
      <c r="F502" s="326">
        <v>0</v>
      </c>
      <c r="G502" s="348" t="s">
        <v>2804</v>
      </c>
      <c r="H502" s="331" t="s">
        <v>1120</v>
      </c>
      <c r="I502" s="326"/>
      <c r="J502" s="325"/>
      <c r="K502" s="335">
        <f t="shared" si="14"/>
        <v>0</v>
      </c>
      <c r="L502" s="335">
        <v>0</v>
      </c>
      <c r="M502" s="335"/>
      <c r="N502" s="335">
        <f t="shared" si="15"/>
        <v>0</v>
      </c>
      <c r="O502" s="335">
        <v>0</v>
      </c>
      <c r="P502" s="335"/>
    </row>
    <row r="503" spans="1:16">
      <c r="A503" s="177">
        <v>320</v>
      </c>
      <c r="B503" s="326">
        <v>100</v>
      </c>
      <c r="C503" s="326">
        <v>100</v>
      </c>
      <c r="D503" s="326">
        <v>200</v>
      </c>
      <c r="E503" s="326">
        <v>90</v>
      </c>
      <c r="F503" s="326">
        <v>5</v>
      </c>
      <c r="G503" s="347" t="s">
        <v>2805</v>
      </c>
      <c r="H503" s="330" t="s">
        <v>1121</v>
      </c>
      <c r="I503" s="326"/>
      <c r="J503" s="326"/>
      <c r="K503" s="334">
        <f t="shared" si="14"/>
        <v>396027.22</v>
      </c>
      <c r="L503" s="334">
        <v>396027.22</v>
      </c>
      <c r="M503" s="334"/>
      <c r="N503" s="334">
        <f t="shared" si="15"/>
        <v>355375.72</v>
      </c>
      <c r="O503" s="334">
        <v>355375.72</v>
      </c>
      <c r="P503" s="334"/>
    </row>
    <row r="504" spans="1:16">
      <c r="A504" s="177">
        <v>320</v>
      </c>
      <c r="B504" s="326">
        <v>100</v>
      </c>
      <c r="C504" s="326">
        <v>100</v>
      </c>
      <c r="D504" s="326">
        <v>300</v>
      </c>
      <c r="E504" s="326">
        <v>0</v>
      </c>
      <c r="F504" s="326">
        <v>0</v>
      </c>
      <c r="G504" s="330" t="s">
        <v>2806</v>
      </c>
      <c r="H504" s="330" t="s">
        <v>1125</v>
      </c>
      <c r="I504" s="326" t="s">
        <v>1126</v>
      </c>
      <c r="J504" s="326"/>
      <c r="K504" s="334">
        <f t="shared" si="14"/>
        <v>0</v>
      </c>
      <c r="L504" s="334">
        <v>0</v>
      </c>
      <c r="M504" s="334"/>
      <c r="N504" s="334">
        <f t="shared" si="15"/>
        <v>0</v>
      </c>
      <c r="O504" s="334">
        <v>0</v>
      </c>
      <c r="P504" s="334"/>
    </row>
    <row r="505" spans="1:16">
      <c r="A505" s="177">
        <v>320</v>
      </c>
      <c r="B505" s="326">
        <v>100</v>
      </c>
      <c r="C505" s="326">
        <v>200</v>
      </c>
      <c r="D505" s="326">
        <v>0</v>
      </c>
      <c r="E505" s="326">
        <v>0</v>
      </c>
      <c r="F505" s="326">
        <v>0</v>
      </c>
      <c r="G505" s="331" t="s">
        <v>2807</v>
      </c>
      <c r="H505" s="331" t="s">
        <v>1127</v>
      </c>
      <c r="I505" s="326" t="s">
        <v>1128</v>
      </c>
      <c r="J505" s="325"/>
      <c r="K505" s="335">
        <f t="shared" si="14"/>
        <v>0</v>
      </c>
      <c r="L505" s="335">
        <v>0</v>
      </c>
      <c r="M505" s="335"/>
      <c r="N505" s="335">
        <f t="shared" si="15"/>
        <v>0</v>
      </c>
      <c r="O505" s="335">
        <v>0</v>
      </c>
      <c r="P505" s="335"/>
    </row>
    <row r="506" spans="1:16" ht="25.5">
      <c r="A506" s="177">
        <v>320</v>
      </c>
      <c r="B506" s="326">
        <v>100</v>
      </c>
      <c r="C506" s="326">
        <v>200</v>
      </c>
      <c r="D506" s="326">
        <v>100</v>
      </c>
      <c r="E506" s="326">
        <v>0</v>
      </c>
      <c r="F506" s="326">
        <v>0</v>
      </c>
      <c r="G506" s="331" t="s">
        <v>2808</v>
      </c>
      <c r="H506" s="331" t="s">
        <v>1129</v>
      </c>
      <c r="I506" s="326" t="s">
        <v>1130</v>
      </c>
      <c r="J506" s="325"/>
      <c r="K506" s="335">
        <f t="shared" si="14"/>
        <v>0</v>
      </c>
      <c r="L506" s="335">
        <v>0</v>
      </c>
      <c r="M506" s="335"/>
      <c r="N506" s="335">
        <f t="shared" si="15"/>
        <v>0</v>
      </c>
      <c r="O506" s="335">
        <v>0</v>
      </c>
      <c r="P506" s="335"/>
    </row>
    <row r="507" spans="1:16">
      <c r="A507" s="177">
        <v>320</v>
      </c>
      <c r="B507" s="326">
        <v>100</v>
      </c>
      <c r="C507" s="326">
        <v>200</v>
      </c>
      <c r="D507" s="326">
        <v>100</v>
      </c>
      <c r="E507" s="326">
        <v>10</v>
      </c>
      <c r="F507" s="326">
        <v>0</v>
      </c>
      <c r="G507" s="347" t="s">
        <v>2809</v>
      </c>
      <c r="H507" s="330" t="s">
        <v>1107</v>
      </c>
      <c r="I507" s="326"/>
      <c r="J507" s="326"/>
      <c r="K507" s="334">
        <f t="shared" si="14"/>
        <v>1345487.16</v>
      </c>
      <c r="L507" s="334">
        <v>1345487.16</v>
      </c>
      <c r="M507" s="334"/>
      <c r="N507" s="334">
        <f t="shared" si="15"/>
        <v>1219246.81</v>
      </c>
      <c r="O507" s="334">
        <v>1219246.81</v>
      </c>
      <c r="P507" s="334"/>
    </row>
    <row r="508" spans="1:16">
      <c r="A508" s="177">
        <v>320</v>
      </c>
      <c r="B508" s="326">
        <v>100</v>
      </c>
      <c r="C508" s="326">
        <v>200</v>
      </c>
      <c r="D508" s="326">
        <v>100</v>
      </c>
      <c r="E508" s="326">
        <v>20</v>
      </c>
      <c r="F508" s="326">
        <v>0</v>
      </c>
      <c r="G508" s="347" t="s">
        <v>2810</v>
      </c>
      <c r="H508" s="330" t="s">
        <v>1108</v>
      </c>
      <c r="I508" s="326"/>
      <c r="J508" s="326"/>
      <c r="K508" s="334">
        <f t="shared" si="14"/>
        <v>287390.32</v>
      </c>
      <c r="L508" s="334">
        <v>287390.32</v>
      </c>
      <c r="M508" s="334"/>
      <c r="N508" s="334">
        <f t="shared" si="15"/>
        <v>238714.98</v>
      </c>
      <c r="O508" s="334">
        <v>238714.98</v>
      </c>
      <c r="P508" s="334"/>
    </row>
    <row r="509" spans="1:16">
      <c r="A509" s="177">
        <v>320</v>
      </c>
      <c r="B509" s="326">
        <v>100</v>
      </c>
      <c r="C509" s="326">
        <v>200</v>
      </c>
      <c r="D509" s="326">
        <v>100</v>
      </c>
      <c r="E509" s="326">
        <v>30</v>
      </c>
      <c r="F509" s="326">
        <v>0</v>
      </c>
      <c r="G509" s="347" t="s">
        <v>2811</v>
      </c>
      <c r="H509" s="330" t="s">
        <v>1131</v>
      </c>
      <c r="I509" s="326"/>
      <c r="J509" s="326"/>
      <c r="K509" s="334">
        <f t="shared" si="14"/>
        <v>109459.25</v>
      </c>
      <c r="L509" s="334">
        <v>109459.25</v>
      </c>
      <c r="M509" s="334"/>
      <c r="N509" s="334">
        <f t="shared" si="15"/>
        <v>85246.55</v>
      </c>
      <c r="O509" s="334">
        <v>85246.55</v>
      </c>
      <c r="P509" s="334"/>
    </row>
    <row r="510" spans="1:16">
      <c r="A510" s="177">
        <v>320</v>
      </c>
      <c r="B510" s="326">
        <v>100</v>
      </c>
      <c r="C510" s="326">
        <v>200</v>
      </c>
      <c r="D510" s="326">
        <v>100</v>
      </c>
      <c r="E510" s="326">
        <v>40</v>
      </c>
      <c r="F510" s="326">
        <v>0</v>
      </c>
      <c r="G510" s="347" t="s">
        <v>2812</v>
      </c>
      <c r="H510" s="330" t="s">
        <v>1132</v>
      </c>
      <c r="I510" s="326"/>
      <c r="J510" s="326"/>
      <c r="K510" s="334">
        <f t="shared" si="14"/>
        <v>26109.61</v>
      </c>
      <c r="L510" s="334">
        <v>26109.61</v>
      </c>
      <c r="M510" s="334"/>
      <c r="N510" s="334">
        <f t="shared" si="15"/>
        <v>17460.79</v>
      </c>
      <c r="O510" s="334">
        <v>17460.79</v>
      </c>
      <c r="P510" s="334"/>
    </row>
    <row r="511" spans="1:16">
      <c r="A511" s="177">
        <v>320</v>
      </c>
      <c r="B511" s="326">
        <v>100</v>
      </c>
      <c r="C511" s="326">
        <v>200</v>
      </c>
      <c r="D511" s="326">
        <v>100</v>
      </c>
      <c r="E511" s="326">
        <v>50</v>
      </c>
      <c r="F511" s="326">
        <v>0</v>
      </c>
      <c r="G511" s="348" t="s">
        <v>2813</v>
      </c>
      <c r="H511" s="331" t="s">
        <v>1133</v>
      </c>
      <c r="I511" s="326"/>
      <c r="J511" s="325"/>
      <c r="K511" s="335">
        <f t="shared" si="14"/>
        <v>0</v>
      </c>
      <c r="L511" s="335">
        <v>0</v>
      </c>
      <c r="M511" s="335"/>
      <c r="N511" s="335">
        <f t="shared" si="15"/>
        <v>0</v>
      </c>
      <c r="O511" s="335">
        <v>0</v>
      </c>
      <c r="P511" s="335"/>
    </row>
    <row r="512" spans="1:16">
      <c r="A512" s="177">
        <v>320</v>
      </c>
      <c r="B512" s="326">
        <v>100</v>
      </c>
      <c r="C512" s="326">
        <v>200</v>
      </c>
      <c r="D512" s="326">
        <v>100</v>
      </c>
      <c r="E512" s="326">
        <v>50</v>
      </c>
      <c r="F512" s="326">
        <v>5</v>
      </c>
      <c r="G512" s="347" t="s">
        <v>2814</v>
      </c>
      <c r="H512" s="330" t="s">
        <v>1116</v>
      </c>
      <c r="I512" s="326"/>
      <c r="J512" s="326"/>
      <c r="K512" s="334">
        <f t="shared" si="14"/>
        <v>0</v>
      </c>
      <c r="L512" s="334">
        <v>0</v>
      </c>
      <c r="M512" s="334"/>
      <c r="N512" s="334">
        <f t="shared" si="15"/>
        <v>0</v>
      </c>
      <c r="O512" s="334">
        <v>0</v>
      </c>
      <c r="P512" s="334"/>
    </row>
    <row r="513" spans="1:16">
      <c r="A513" s="177">
        <v>320</v>
      </c>
      <c r="B513" s="326">
        <v>100</v>
      </c>
      <c r="C513" s="326">
        <v>200</v>
      </c>
      <c r="D513" s="326">
        <v>100</v>
      </c>
      <c r="E513" s="326">
        <v>50</v>
      </c>
      <c r="F513" s="326">
        <v>10</v>
      </c>
      <c r="G513" s="347" t="s">
        <v>2815</v>
      </c>
      <c r="H513" s="330" t="s">
        <v>1117</v>
      </c>
      <c r="I513" s="326"/>
      <c r="J513" s="326"/>
      <c r="K513" s="334">
        <f t="shared" si="14"/>
        <v>0</v>
      </c>
      <c r="L513" s="334">
        <v>0</v>
      </c>
      <c r="M513" s="334"/>
      <c r="N513" s="334">
        <f t="shared" si="15"/>
        <v>0</v>
      </c>
      <c r="O513" s="334">
        <v>0</v>
      </c>
      <c r="P513" s="334"/>
    </row>
    <row r="514" spans="1:16">
      <c r="A514" s="177">
        <v>320</v>
      </c>
      <c r="B514" s="326">
        <v>100</v>
      </c>
      <c r="C514" s="326">
        <v>200</v>
      </c>
      <c r="D514" s="326">
        <v>100</v>
      </c>
      <c r="E514" s="326">
        <v>50</v>
      </c>
      <c r="F514" s="326">
        <v>15</v>
      </c>
      <c r="G514" s="347" t="s">
        <v>2816</v>
      </c>
      <c r="H514" s="330" t="s">
        <v>1134</v>
      </c>
      <c r="I514" s="326"/>
      <c r="J514" s="326"/>
      <c r="K514" s="334">
        <f t="shared" si="14"/>
        <v>20178.61</v>
      </c>
      <c r="L514" s="334">
        <v>20178.61</v>
      </c>
      <c r="M514" s="334"/>
      <c r="N514" s="334">
        <f t="shared" si="15"/>
        <v>31894.77</v>
      </c>
      <c r="O514" s="334">
        <v>31894.77</v>
      </c>
      <c r="P514" s="334"/>
    </row>
    <row r="515" spans="1:16">
      <c r="A515" s="177">
        <v>320</v>
      </c>
      <c r="B515" s="326">
        <v>100</v>
      </c>
      <c r="C515" s="326">
        <v>200</v>
      </c>
      <c r="D515" s="326">
        <v>100</v>
      </c>
      <c r="E515" s="326">
        <v>90</v>
      </c>
      <c r="F515" s="326">
        <v>0</v>
      </c>
      <c r="G515" s="347" t="s">
        <v>2817</v>
      </c>
      <c r="H515" s="330" t="s">
        <v>1135</v>
      </c>
      <c r="I515" s="326"/>
      <c r="J515" s="326"/>
      <c r="K515" s="334">
        <f t="shared" si="14"/>
        <v>519992.53</v>
      </c>
      <c r="L515" s="334">
        <v>519992.53</v>
      </c>
      <c r="M515" s="334"/>
      <c r="N515" s="334">
        <f t="shared" si="15"/>
        <v>457508.43</v>
      </c>
      <c r="O515" s="334">
        <v>457508.43</v>
      </c>
      <c r="P515" s="334"/>
    </row>
    <row r="516" spans="1:16" ht="25.5">
      <c r="A516" s="177">
        <v>320</v>
      </c>
      <c r="B516" s="326">
        <v>100</v>
      </c>
      <c r="C516" s="326">
        <v>200</v>
      </c>
      <c r="D516" s="326">
        <v>200</v>
      </c>
      <c r="E516" s="326">
        <v>0</v>
      </c>
      <c r="F516" s="326">
        <v>0</v>
      </c>
      <c r="G516" s="331" t="s">
        <v>2818</v>
      </c>
      <c r="H516" s="331" t="s">
        <v>1136</v>
      </c>
      <c r="I516" s="326" t="s">
        <v>1137</v>
      </c>
      <c r="J516" s="325"/>
      <c r="K516" s="335">
        <f t="shared" si="14"/>
        <v>0</v>
      </c>
      <c r="L516" s="335">
        <v>0</v>
      </c>
      <c r="M516" s="335"/>
      <c r="N516" s="335">
        <f t="shared" si="15"/>
        <v>0</v>
      </c>
      <c r="O516" s="335">
        <v>0</v>
      </c>
      <c r="P516" s="335"/>
    </row>
    <row r="517" spans="1:16">
      <c r="A517" s="177">
        <v>320</v>
      </c>
      <c r="B517" s="326">
        <v>100</v>
      </c>
      <c r="C517" s="326">
        <v>200</v>
      </c>
      <c r="D517" s="326">
        <v>200</v>
      </c>
      <c r="E517" s="326">
        <v>10</v>
      </c>
      <c r="F517" s="326">
        <v>0</v>
      </c>
      <c r="G517" s="347" t="s">
        <v>2819</v>
      </c>
      <c r="H517" s="330" t="s">
        <v>1107</v>
      </c>
      <c r="I517" s="326"/>
      <c r="J517" s="326"/>
      <c r="K517" s="334">
        <f t="shared" si="14"/>
        <v>49505.16</v>
      </c>
      <c r="L517" s="334">
        <v>49505.16</v>
      </c>
      <c r="M517" s="334"/>
      <c r="N517" s="334">
        <f t="shared" si="15"/>
        <v>81538.28</v>
      </c>
      <c r="O517" s="334">
        <v>81538.28</v>
      </c>
      <c r="P517" s="334"/>
    </row>
    <row r="518" spans="1:16">
      <c r="A518" s="177">
        <v>320</v>
      </c>
      <c r="B518" s="326">
        <v>100</v>
      </c>
      <c r="C518" s="326">
        <v>200</v>
      </c>
      <c r="D518" s="326">
        <v>200</v>
      </c>
      <c r="E518" s="326">
        <v>20</v>
      </c>
      <c r="F518" s="326">
        <v>0</v>
      </c>
      <c r="G518" s="347" t="s">
        <v>2820</v>
      </c>
      <c r="H518" s="330" t="s">
        <v>1108</v>
      </c>
      <c r="I518" s="326"/>
      <c r="J518" s="326"/>
      <c r="K518" s="334">
        <f t="shared" si="14"/>
        <v>4598.1000000000004</v>
      </c>
      <c r="L518" s="334">
        <v>4598.1000000000004</v>
      </c>
      <c r="M518" s="334"/>
      <c r="N518" s="334">
        <f t="shared" si="15"/>
        <v>6372.12</v>
      </c>
      <c r="O518" s="334">
        <v>6372.12</v>
      </c>
      <c r="P518" s="334"/>
    </row>
    <row r="519" spans="1:16">
      <c r="A519" s="177">
        <v>320</v>
      </c>
      <c r="B519" s="326">
        <v>100</v>
      </c>
      <c r="C519" s="326">
        <v>200</v>
      </c>
      <c r="D519" s="326">
        <v>200</v>
      </c>
      <c r="E519" s="326">
        <v>30</v>
      </c>
      <c r="F519" s="326">
        <v>0</v>
      </c>
      <c r="G519" s="347" t="s">
        <v>2821</v>
      </c>
      <c r="H519" s="330" t="s">
        <v>1131</v>
      </c>
      <c r="I519" s="326"/>
      <c r="J519" s="326"/>
      <c r="K519" s="334">
        <f t="shared" ref="K519:K608" si="16">+L519+M519</f>
        <v>18243.21</v>
      </c>
      <c r="L519" s="334">
        <v>18243.21</v>
      </c>
      <c r="M519" s="334"/>
      <c r="N519" s="334">
        <f t="shared" ref="N519:N582" si="17">+O519+P519</f>
        <v>6620.58</v>
      </c>
      <c r="O519" s="334">
        <v>6620.58</v>
      </c>
      <c r="P519" s="334"/>
    </row>
    <row r="520" spans="1:16">
      <c r="A520" s="177">
        <v>320</v>
      </c>
      <c r="B520" s="326">
        <v>100</v>
      </c>
      <c r="C520" s="326">
        <v>200</v>
      </c>
      <c r="D520" s="326">
        <v>200</v>
      </c>
      <c r="E520" s="326">
        <v>40</v>
      </c>
      <c r="F520" s="326">
        <v>0</v>
      </c>
      <c r="G520" s="347" t="s">
        <v>2822</v>
      </c>
      <c r="H520" s="330" t="s">
        <v>1132</v>
      </c>
      <c r="I520" s="326"/>
      <c r="J520" s="326"/>
      <c r="K520" s="334">
        <f t="shared" si="16"/>
        <v>59.6</v>
      </c>
      <c r="L520" s="334">
        <v>59.6</v>
      </c>
      <c r="M520" s="334"/>
      <c r="N520" s="334">
        <f t="shared" si="17"/>
        <v>2482.3200000000002</v>
      </c>
      <c r="O520" s="334">
        <v>2482.3200000000002</v>
      </c>
      <c r="P520" s="334"/>
    </row>
    <row r="521" spans="1:16">
      <c r="A521" s="177">
        <v>320</v>
      </c>
      <c r="B521" s="326">
        <v>100</v>
      </c>
      <c r="C521" s="326">
        <v>200</v>
      </c>
      <c r="D521" s="326">
        <v>200</v>
      </c>
      <c r="E521" s="326">
        <v>50</v>
      </c>
      <c r="F521" s="326">
        <v>0</v>
      </c>
      <c r="G521" s="348" t="s">
        <v>2823</v>
      </c>
      <c r="H521" s="331" t="s">
        <v>1133</v>
      </c>
      <c r="I521" s="326"/>
      <c r="J521" s="325"/>
      <c r="K521" s="335">
        <f t="shared" si="16"/>
        <v>0</v>
      </c>
      <c r="L521" s="335">
        <v>0</v>
      </c>
      <c r="M521" s="335"/>
      <c r="N521" s="335">
        <f t="shared" si="17"/>
        <v>0</v>
      </c>
      <c r="O521" s="335">
        <v>0</v>
      </c>
      <c r="P521" s="335"/>
    </row>
    <row r="522" spans="1:16">
      <c r="A522" s="177">
        <v>320</v>
      </c>
      <c r="B522" s="326">
        <v>100</v>
      </c>
      <c r="C522" s="326">
        <v>200</v>
      </c>
      <c r="D522" s="326">
        <v>200</v>
      </c>
      <c r="E522" s="326">
        <v>50</v>
      </c>
      <c r="F522" s="326">
        <v>5</v>
      </c>
      <c r="G522" s="347" t="s">
        <v>2824</v>
      </c>
      <c r="H522" s="330" t="s">
        <v>1116</v>
      </c>
      <c r="I522" s="326"/>
      <c r="J522" s="326"/>
      <c r="K522" s="334">
        <f t="shared" si="16"/>
        <v>0</v>
      </c>
      <c r="L522" s="334">
        <v>0</v>
      </c>
      <c r="M522" s="334"/>
      <c r="N522" s="334">
        <f t="shared" si="17"/>
        <v>0</v>
      </c>
      <c r="O522" s="334">
        <v>0</v>
      </c>
      <c r="P522" s="334"/>
    </row>
    <row r="523" spans="1:16">
      <c r="A523" s="177">
        <v>320</v>
      </c>
      <c r="B523" s="326">
        <v>100</v>
      </c>
      <c r="C523" s="326">
        <v>200</v>
      </c>
      <c r="D523" s="326">
        <v>200</v>
      </c>
      <c r="E523" s="326">
        <v>50</v>
      </c>
      <c r="F523" s="326">
        <v>10</v>
      </c>
      <c r="G523" s="347" t="s">
        <v>2825</v>
      </c>
      <c r="H523" s="330" t="s">
        <v>1117</v>
      </c>
      <c r="I523" s="326"/>
      <c r="J523" s="326"/>
      <c r="K523" s="334">
        <f t="shared" si="16"/>
        <v>0</v>
      </c>
      <c r="L523" s="334">
        <v>0</v>
      </c>
      <c r="M523" s="334"/>
      <c r="N523" s="334">
        <f t="shared" si="17"/>
        <v>0</v>
      </c>
      <c r="O523" s="334">
        <v>0</v>
      </c>
      <c r="P523" s="334"/>
    </row>
    <row r="524" spans="1:16">
      <c r="A524" s="177">
        <v>320</v>
      </c>
      <c r="B524" s="326">
        <v>100</v>
      </c>
      <c r="C524" s="326">
        <v>200</v>
      </c>
      <c r="D524" s="326">
        <v>200</v>
      </c>
      <c r="E524" s="326">
        <v>50</v>
      </c>
      <c r="F524" s="326">
        <v>15</v>
      </c>
      <c r="G524" s="347" t="s">
        <v>2826</v>
      </c>
      <c r="H524" s="330" t="s">
        <v>1134</v>
      </c>
      <c r="I524" s="326"/>
      <c r="J524" s="326"/>
      <c r="K524" s="334">
        <f t="shared" si="16"/>
        <v>0</v>
      </c>
      <c r="L524" s="334">
        <v>0</v>
      </c>
      <c r="M524" s="334"/>
      <c r="N524" s="334">
        <f t="shared" si="17"/>
        <v>0</v>
      </c>
      <c r="O524" s="334">
        <v>0</v>
      </c>
      <c r="P524" s="334"/>
    </row>
    <row r="525" spans="1:16">
      <c r="A525" s="177">
        <v>320</v>
      </c>
      <c r="B525" s="326">
        <v>100</v>
      </c>
      <c r="C525" s="326">
        <v>200</v>
      </c>
      <c r="D525" s="326">
        <v>200</v>
      </c>
      <c r="E525" s="326">
        <v>90</v>
      </c>
      <c r="F525" s="326">
        <v>0</v>
      </c>
      <c r="G525" s="347" t="s">
        <v>2827</v>
      </c>
      <c r="H525" s="330" t="s">
        <v>1135</v>
      </c>
      <c r="I525" s="326"/>
      <c r="J525" s="326"/>
      <c r="K525" s="334">
        <f t="shared" si="16"/>
        <v>22416.75</v>
      </c>
      <c r="L525" s="334">
        <v>22416.75</v>
      </c>
      <c r="M525" s="334"/>
      <c r="N525" s="334">
        <f t="shared" si="17"/>
        <v>30109.15</v>
      </c>
      <c r="O525" s="334">
        <v>30109.15</v>
      </c>
      <c r="P525" s="334"/>
    </row>
    <row r="526" spans="1:16">
      <c r="A526" s="177">
        <v>320</v>
      </c>
      <c r="B526" s="326">
        <v>100</v>
      </c>
      <c r="C526" s="326">
        <v>200</v>
      </c>
      <c r="D526" s="326">
        <v>300</v>
      </c>
      <c r="E526" s="326">
        <v>0</v>
      </c>
      <c r="F526" s="326">
        <v>0</v>
      </c>
      <c r="G526" s="330" t="s">
        <v>2828</v>
      </c>
      <c r="H526" s="330" t="s">
        <v>1125</v>
      </c>
      <c r="I526" s="326" t="s">
        <v>1138</v>
      </c>
      <c r="J526" s="326"/>
      <c r="K526" s="334">
        <f t="shared" si="16"/>
        <v>0</v>
      </c>
      <c r="L526" s="334">
        <v>0</v>
      </c>
      <c r="M526" s="334"/>
      <c r="N526" s="334">
        <f t="shared" si="17"/>
        <v>0</v>
      </c>
      <c r="O526" s="334">
        <v>0</v>
      </c>
      <c r="P526" s="334"/>
    </row>
    <row r="527" spans="1:16">
      <c r="A527" s="177">
        <v>320</v>
      </c>
      <c r="B527" s="326">
        <v>200</v>
      </c>
      <c r="C527" s="326">
        <v>0</v>
      </c>
      <c r="D527" s="326">
        <v>0</v>
      </c>
      <c r="E527" s="326">
        <v>0</v>
      </c>
      <c r="F527" s="326">
        <v>0</v>
      </c>
      <c r="G527" s="331" t="s">
        <v>2829</v>
      </c>
      <c r="H527" s="331" t="s">
        <v>1139</v>
      </c>
      <c r="I527" s="326" t="s">
        <v>1140</v>
      </c>
      <c r="J527" s="325"/>
      <c r="K527" s="335">
        <f t="shared" si="16"/>
        <v>0</v>
      </c>
      <c r="L527" s="335">
        <v>0</v>
      </c>
      <c r="M527" s="335"/>
      <c r="N527" s="335">
        <f t="shared" si="17"/>
        <v>0</v>
      </c>
      <c r="O527" s="335">
        <v>0</v>
      </c>
      <c r="P527" s="335"/>
    </row>
    <row r="528" spans="1:16" ht="25.5">
      <c r="A528" s="177">
        <v>320</v>
      </c>
      <c r="B528" s="326">
        <v>200</v>
      </c>
      <c r="C528" s="326">
        <v>100</v>
      </c>
      <c r="D528" s="326">
        <v>0</v>
      </c>
      <c r="E528" s="326">
        <v>0</v>
      </c>
      <c r="F528" s="326">
        <v>0</v>
      </c>
      <c r="G528" s="331" t="s">
        <v>2830</v>
      </c>
      <c r="H528" s="331" t="s">
        <v>1141</v>
      </c>
      <c r="I528" s="326" t="s">
        <v>1142</v>
      </c>
      <c r="J528" s="325"/>
      <c r="K528" s="335">
        <f t="shared" si="16"/>
        <v>0</v>
      </c>
      <c r="L528" s="335">
        <v>0</v>
      </c>
      <c r="M528" s="335"/>
      <c r="N528" s="335">
        <f t="shared" si="17"/>
        <v>0</v>
      </c>
      <c r="O528" s="335">
        <v>0</v>
      </c>
      <c r="P528" s="335"/>
    </row>
    <row r="529" spans="1:16">
      <c r="A529" s="177">
        <v>320</v>
      </c>
      <c r="B529" s="326">
        <v>200</v>
      </c>
      <c r="C529" s="326">
        <v>100</v>
      </c>
      <c r="D529" s="326">
        <v>100</v>
      </c>
      <c r="E529" s="326">
        <v>0</v>
      </c>
      <c r="F529" s="326">
        <v>0</v>
      </c>
      <c r="G529" s="347" t="s">
        <v>2831</v>
      </c>
      <c r="H529" s="330" t="s">
        <v>1107</v>
      </c>
      <c r="I529" s="326"/>
      <c r="J529" s="326"/>
      <c r="K529" s="334">
        <f t="shared" si="16"/>
        <v>9434645.1899999995</v>
      </c>
      <c r="L529" s="334">
        <v>9434645.1899999995</v>
      </c>
      <c r="M529" s="334"/>
      <c r="N529" s="334">
        <f t="shared" si="17"/>
        <v>9200840.9600000009</v>
      </c>
      <c r="O529" s="334">
        <v>9200840.9600000009</v>
      </c>
      <c r="P529" s="334"/>
    </row>
    <row r="530" spans="1:16">
      <c r="A530" s="177">
        <v>320</v>
      </c>
      <c r="B530" s="326">
        <v>200</v>
      </c>
      <c r="C530" s="326">
        <v>100</v>
      </c>
      <c r="D530" s="326">
        <v>200</v>
      </c>
      <c r="E530" s="326">
        <v>0</v>
      </c>
      <c r="F530" s="326">
        <v>0</v>
      </c>
      <c r="G530" s="347" t="s">
        <v>2832</v>
      </c>
      <c r="H530" s="330" t="s">
        <v>1143</v>
      </c>
      <c r="I530" s="326"/>
      <c r="J530" s="326"/>
      <c r="K530" s="334">
        <f t="shared" si="16"/>
        <v>139120.07999999999</v>
      </c>
      <c r="L530" s="334">
        <v>139120.07999999999</v>
      </c>
      <c r="M530" s="334"/>
      <c r="N530" s="334">
        <f t="shared" si="17"/>
        <v>110036.26</v>
      </c>
      <c r="O530" s="334">
        <v>110036.26</v>
      </c>
      <c r="P530" s="334"/>
    </row>
    <row r="531" spans="1:16">
      <c r="A531" s="177">
        <v>320</v>
      </c>
      <c r="B531" s="326">
        <v>200</v>
      </c>
      <c r="C531" s="326">
        <v>100</v>
      </c>
      <c r="D531" s="326">
        <v>300</v>
      </c>
      <c r="E531" s="326">
        <v>0</v>
      </c>
      <c r="F531" s="326">
        <v>0</v>
      </c>
      <c r="G531" s="347" t="s">
        <v>2833</v>
      </c>
      <c r="H531" s="330" t="s">
        <v>1144</v>
      </c>
      <c r="I531" s="326"/>
      <c r="J531" s="326"/>
      <c r="K531" s="334">
        <f t="shared" si="16"/>
        <v>136095.75</v>
      </c>
      <c r="L531" s="334">
        <v>136095.75</v>
      </c>
      <c r="M531" s="334"/>
      <c r="N531" s="334">
        <f t="shared" si="17"/>
        <v>138246.21</v>
      </c>
      <c r="O531" s="334">
        <v>138246.21</v>
      </c>
      <c r="P531" s="334"/>
    </row>
    <row r="532" spans="1:16">
      <c r="A532" s="177">
        <v>320</v>
      </c>
      <c r="B532" s="326">
        <v>200</v>
      </c>
      <c r="C532" s="326">
        <v>100</v>
      </c>
      <c r="D532" s="326">
        <v>301</v>
      </c>
      <c r="E532" s="326">
        <v>0</v>
      </c>
      <c r="F532" s="326">
        <v>0</v>
      </c>
      <c r="G532" s="347" t="s">
        <v>2262</v>
      </c>
      <c r="H532" s="330" t="s">
        <v>2263</v>
      </c>
      <c r="I532" s="326"/>
      <c r="J532" s="326"/>
      <c r="K532" s="334">
        <f t="shared" si="16"/>
        <v>510838.76</v>
      </c>
      <c r="L532" s="334">
        <v>510838.76</v>
      </c>
      <c r="M532" s="334"/>
      <c r="N532" s="334">
        <f t="shared" si="17"/>
        <v>532620.01</v>
      </c>
      <c r="O532" s="334">
        <v>532620.01</v>
      </c>
      <c r="P532" s="334"/>
    </row>
    <row r="533" spans="1:16">
      <c r="A533" s="177">
        <v>320</v>
      </c>
      <c r="B533" s="326">
        <v>200</v>
      </c>
      <c r="C533" s="326">
        <v>100</v>
      </c>
      <c r="D533" s="326">
        <v>302</v>
      </c>
      <c r="E533" s="326">
        <v>0</v>
      </c>
      <c r="F533" s="326">
        <v>0</v>
      </c>
      <c r="G533" s="347" t="s">
        <v>2264</v>
      </c>
      <c r="H533" s="330" t="s">
        <v>2265</v>
      </c>
      <c r="I533" s="326"/>
      <c r="J533" s="326"/>
      <c r="K533" s="334">
        <f t="shared" si="16"/>
        <v>1126566.57</v>
      </c>
      <c r="L533" s="334">
        <v>1126566.57</v>
      </c>
      <c r="M533" s="334"/>
      <c r="N533" s="334">
        <f t="shared" si="17"/>
        <v>1063500.25</v>
      </c>
      <c r="O533" s="334">
        <v>1063500.25</v>
      </c>
      <c r="P533" s="334"/>
    </row>
    <row r="534" spans="1:16">
      <c r="A534" s="177">
        <v>320</v>
      </c>
      <c r="B534" s="326">
        <v>200</v>
      </c>
      <c r="C534" s="326">
        <v>100</v>
      </c>
      <c r="D534" s="326">
        <v>400</v>
      </c>
      <c r="E534" s="326">
        <v>0</v>
      </c>
      <c r="F534" s="326">
        <v>0</v>
      </c>
      <c r="G534" s="347" t="s">
        <v>2834</v>
      </c>
      <c r="H534" s="330" t="s">
        <v>1145</v>
      </c>
      <c r="I534" s="326"/>
      <c r="J534" s="326"/>
      <c r="K534" s="334">
        <f t="shared" si="16"/>
        <v>833494.25</v>
      </c>
      <c r="L534" s="334">
        <v>833494.25</v>
      </c>
      <c r="M534" s="334"/>
      <c r="N534" s="334">
        <f t="shared" si="17"/>
        <v>759779.31</v>
      </c>
      <c r="O534" s="334">
        <v>759779.31</v>
      </c>
      <c r="P534" s="334"/>
    </row>
    <row r="535" spans="1:16">
      <c r="A535" s="177">
        <v>320</v>
      </c>
      <c r="B535" s="326">
        <v>200</v>
      </c>
      <c r="C535" s="326">
        <v>100</v>
      </c>
      <c r="D535" s="326">
        <v>500</v>
      </c>
      <c r="E535" s="326">
        <v>0</v>
      </c>
      <c r="F535" s="326">
        <v>0</v>
      </c>
      <c r="G535" s="347" t="s">
        <v>2835</v>
      </c>
      <c r="H535" s="330" t="s">
        <v>1132</v>
      </c>
      <c r="I535" s="326"/>
      <c r="J535" s="326"/>
      <c r="K535" s="334">
        <f t="shared" si="16"/>
        <v>1181057.3</v>
      </c>
      <c r="L535" s="334">
        <v>1181057.3</v>
      </c>
      <c r="M535" s="334"/>
      <c r="N535" s="334">
        <f t="shared" si="17"/>
        <v>865742.27</v>
      </c>
      <c r="O535" s="334">
        <v>865742.27</v>
      </c>
      <c r="P535" s="334"/>
    </row>
    <row r="536" spans="1:16">
      <c r="A536" s="177">
        <v>320</v>
      </c>
      <c r="B536" s="326">
        <v>200</v>
      </c>
      <c r="C536" s="326">
        <v>100</v>
      </c>
      <c r="D536" s="326">
        <v>600</v>
      </c>
      <c r="E536" s="326">
        <v>0</v>
      </c>
      <c r="F536" s="326">
        <v>0</v>
      </c>
      <c r="G536" s="348" t="s">
        <v>2836</v>
      </c>
      <c r="H536" s="331" t="s">
        <v>1115</v>
      </c>
      <c r="I536" s="326"/>
      <c r="J536" s="326"/>
      <c r="K536" s="334">
        <f t="shared" si="16"/>
        <v>0</v>
      </c>
      <c r="L536" s="334">
        <v>0</v>
      </c>
      <c r="M536" s="334"/>
      <c r="N536" s="334">
        <f t="shared" si="17"/>
        <v>0</v>
      </c>
      <c r="O536" s="334">
        <v>0</v>
      </c>
      <c r="P536" s="334"/>
    </row>
    <row r="537" spans="1:16">
      <c r="A537" s="177">
        <v>320</v>
      </c>
      <c r="B537" s="326">
        <v>200</v>
      </c>
      <c r="C537" s="326">
        <v>100</v>
      </c>
      <c r="D537" s="326">
        <v>600</v>
      </c>
      <c r="E537" s="326">
        <v>5</v>
      </c>
      <c r="F537" s="326">
        <v>0</v>
      </c>
      <c r="G537" s="347" t="s">
        <v>2837</v>
      </c>
      <c r="H537" s="330" t="s">
        <v>1116</v>
      </c>
      <c r="I537" s="326"/>
      <c r="J537" s="326"/>
      <c r="K537" s="334">
        <f t="shared" si="16"/>
        <v>0</v>
      </c>
      <c r="L537" s="334">
        <v>0</v>
      </c>
      <c r="M537" s="334"/>
      <c r="N537" s="334">
        <f t="shared" si="17"/>
        <v>0</v>
      </c>
      <c r="O537" s="334">
        <v>0</v>
      </c>
      <c r="P537" s="334"/>
    </row>
    <row r="538" spans="1:16">
      <c r="A538" s="177">
        <v>320</v>
      </c>
      <c r="B538" s="326">
        <v>200</v>
      </c>
      <c r="C538" s="326">
        <v>100</v>
      </c>
      <c r="D538" s="326">
        <v>600</v>
      </c>
      <c r="E538" s="326">
        <v>10</v>
      </c>
      <c r="F538" s="326">
        <v>0</v>
      </c>
      <c r="G538" s="347" t="s">
        <v>2838</v>
      </c>
      <c r="H538" s="330" t="s">
        <v>1117</v>
      </c>
      <c r="I538" s="326"/>
      <c r="J538" s="326"/>
      <c r="K538" s="334">
        <f t="shared" si="16"/>
        <v>0</v>
      </c>
      <c r="L538" s="334">
        <v>0</v>
      </c>
      <c r="M538" s="334"/>
      <c r="N538" s="334">
        <f t="shared" si="17"/>
        <v>0</v>
      </c>
      <c r="O538" s="334">
        <v>0</v>
      </c>
      <c r="P538" s="334"/>
    </row>
    <row r="539" spans="1:16">
      <c r="A539" s="177">
        <v>320</v>
      </c>
      <c r="B539" s="326">
        <v>200</v>
      </c>
      <c r="C539" s="326">
        <v>100</v>
      </c>
      <c r="D539" s="326">
        <v>600</v>
      </c>
      <c r="E539" s="326">
        <v>15</v>
      </c>
      <c r="F539" s="326">
        <v>0</v>
      </c>
      <c r="G539" s="347" t="s">
        <v>2839</v>
      </c>
      <c r="H539" s="330" t="s">
        <v>1146</v>
      </c>
      <c r="I539" s="326"/>
      <c r="J539" s="326"/>
      <c r="K539" s="334">
        <f t="shared" si="16"/>
        <v>1469.47</v>
      </c>
      <c r="L539" s="334">
        <v>1469.47</v>
      </c>
      <c r="M539" s="334"/>
      <c r="N539" s="334">
        <f t="shared" si="17"/>
        <v>7119.76</v>
      </c>
      <c r="O539" s="334">
        <v>7119.76</v>
      </c>
      <c r="P539" s="334"/>
    </row>
    <row r="540" spans="1:16">
      <c r="A540" s="177">
        <v>320</v>
      </c>
      <c r="B540" s="326">
        <v>200</v>
      </c>
      <c r="C540" s="326">
        <v>100</v>
      </c>
      <c r="D540" s="326">
        <v>700</v>
      </c>
      <c r="E540" s="326">
        <v>0</v>
      </c>
      <c r="F540" s="326">
        <v>0</v>
      </c>
      <c r="G540" s="347" t="s">
        <v>2840</v>
      </c>
      <c r="H540" s="330" t="s">
        <v>1135</v>
      </c>
      <c r="I540" s="326"/>
      <c r="J540" s="326"/>
      <c r="K540" s="334">
        <f t="shared" si="16"/>
        <v>3940719.69</v>
      </c>
      <c r="L540" s="334">
        <v>3940719.69</v>
      </c>
      <c r="M540" s="334"/>
      <c r="N540" s="334">
        <f t="shared" si="17"/>
        <v>3750807.95</v>
      </c>
      <c r="O540" s="334">
        <v>3750807.95</v>
      </c>
      <c r="P540" s="334"/>
    </row>
    <row r="541" spans="1:16" ht="25.5">
      <c r="A541" s="177">
        <v>320</v>
      </c>
      <c r="B541" s="326">
        <v>200</v>
      </c>
      <c r="C541" s="326">
        <v>101</v>
      </c>
      <c r="D541" s="326">
        <v>0</v>
      </c>
      <c r="E541" s="326">
        <v>0</v>
      </c>
      <c r="F541" s="326">
        <v>0</v>
      </c>
      <c r="G541" s="331" t="s">
        <v>3463</v>
      </c>
      <c r="H541" s="331" t="s">
        <v>3464</v>
      </c>
      <c r="I541" s="326" t="s">
        <v>1142</v>
      </c>
      <c r="J541" s="325"/>
      <c r="K541" s="335"/>
      <c r="L541" s="335">
        <v>0</v>
      </c>
      <c r="M541" s="335"/>
      <c r="N541" s="335">
        <f t="shared" si="17"/>
        <v>0</v>
      </c>
      <c r="O541" s="335">
        <v>0</v>
      </c>
      <c r="P541" s="335"/>
    </row>
    <row r="542" spans="1:16">
      <c r="A542" s="177">
        <v>320</v>
      </c>
      <c r="B542" s="326">
        <v>200</v>
      </c>
      <c r="C542" s="326">
        <v>101</v>
      </c>
      <c r="D542" s="326">
        <v>100</v>
      </c>
      <c r="E542" s="326">
        <v>0</v>
      </c>
      <c r="F542" s="326">
        <v>0</v>
      </c>
      <c r="G542" s="347" t="s">
        <v>3465</v>
      </c>
      <c r="H542" s="330" t="s">
        <v>1107</v>
      </c>
      <c r="I542" s="326"/>
      <c r="J542" s="325"/>
      <c r="K542" s="334">
        <f t="shared" si="16"/>
        <v>312430.06</v>
      </c>
      <c r="L542" s="336">
        <v>312430.06</v>
      </c>
      <c r="M542" s="336"/>
      <c r="N542" s="336">
        <f t="shared" si="17"/>
        <v>258558.62</v>
      </c>
      <c r="O542" s="336">
        <v>258558.62</v>
      </c>
      <c r="P542" s="336"/>
    </row>
    <row r="543" spans="1:16">
      <c r="A543" s="177">
        <v>320</v>
      </c>
      <c r="B543" s="326">
        <v>200</v>
      </c>
      <c r="C543" s="326">
        <v>101</v>
      </c>
      <c r="D543" s="326">
        <v>200</v>
      </c>
      <c r="E543" s="326">
        <v>0</v>
      </c>
      <c r="F543" s="326">
        <v>0</v>
      </c>
      <c r="G543" s="347" t="s">
        <v>3466</v>
      </c>
      <c r="H543" s="330" t="s">
        <v>1143</v>
      </c>
      <c r="I543" s="326"/>
      <c r="J543" s="325"/>
      <c r="K543" s="334">
        <f t="shared" si="16"/>
        <v>0</v>
      </c>
      <c r="L543" s="336">
        <v>0</v>
      </c>
      <c r="M543" s="336"/>
      <c r="N543" s="336">
        <f t="shared" si="17"/>
        <v>0</v>
      </c>
      <c r="O543" s="336">
        <v>0</v>
      </c>
      <c r="P543" s="336"/>
    </row>
    <row r="544" spans="1:16">
      <c r="A544" s="177">
        <v>320</v>
      </c>
      <c r="B544" s="326">
        <v>200</v>
      </c>
      <c r="C544" s="326">
        <v>101</v>
      </c>
      <c r="D544" s="326">
        <v>300</v>
      </c>
      <c r="E544" s="326">
        <v>0</v>
      </c>
      <c r="F544" s="326">
        <v>0</v>
      </c>
      <c r="G544" s="347" t="s">
        <v>3467</v>
      </c>
      <c r="H544" s="330" t="s">
        <v>1144</v>
      </c>
      <c r="I544" s="326"/>
      <c r="J544" s="325"/>
      <c r="K544" s="334">
        <f t="shared" si="16"/>
        <v>0</v>
      </c>
      <c r="L544" s="336">
        <v>0</v>
      </c>
      <c r="M544" s="336"/>
      <c r="N544" s="336">
        <f t="shared" si="17"/>
        <v>0</v>
      </c>
      <c r="O544" s="336">
        <v>0</v>
      </c>
      <c r="P544" s="336"/>
    </row>
    <row r="545" spans="1:16">
      <c r="A545" s="177">
        <v>320</v>
      </c>
      <c r="B545" s="326">
        <v>200</v>
      </c>
      <c r="C545" s="326">
        <v>101</v>
      </c>
      <c r="D545" s="326">
        <v>301</v>
      </c>
      <c r="E545" s="326">
        <v>0</v>
      </c>
      <c r="F545" s="326">
        <v>0</v>
      </c>
      <c r="G545" s="347" t="s">
        <v>3468</v>
      </c>
      <c r="H545" s="330" t="s">
        <v>2274</v>
      </c>
      <c r="I545" s="326"/>
      <c r="J545" s="325"/>
      <c r="K545" s="334">
        <f t="shared" si="16"/>
        <v>93530.99</v>
      </c>
      <c r="L545" s="336">
        <v>93530.99</v>
      </c>
      <c r="M545" s="336"/>
      <c r="N545" s="336">
        <f t="shared" si="17"/>
        <v>79016.81</v>
      </c>
      <c r="O545" s="336">
        <v>79016.81</v>
      </c>
      <c r="P545" s="336"/>
    </row>
    <row r="546" spans="1:16">
      <c r="A546" s="177">
        <v>320</v>
      </c>
      <c r="B546" s="326">
        <v>200</v>
      </c>
      <c r="C546" s="326">
        <v>101</v>
      </c>
      <c r="D546" s="326">
        <v>302</v>
      </c>
      <c r="E546" s="326">
        <v>0</v>
      </c>
      <c r="F546" s="326">
        <v>0</v>
      </c>
      <c r="G546" s="347" t="s">
        <v>3469</v>
      </c>
      <c r="H546" s="330" t="s">
        <v>2276</v>
      </c>
      <c r="I546" s="326"/>
      <c r="J546" s="325"/>
      <c r="K546" s="334">
        <f t="shared" si="16"/>
        <v>0</v>
      </c>
      <c r="L546" s="336">
        <v>0</v>
      </c>
      <c r="M546" s="336"/>
      <c r="N546" s="336">
        <f t="shared" si="17"/>
        <v>0</v>
      </c>
      <c r="O546" s="336">
        <v>0</v>
      </c>
      <c r="P546" s="336"/>
    </row>
    <row r="547" spans="1:16">
      <c r="A547" s="177">
        <v>320</v>
      </c>
      <c r="B547" s="326">
        <v>200</v>
      </c>
      <c r="C547" s="326">
        <v>101</v>
      </c>
      <c r="D547" s="326">
        <v>400</v>
      </c>
      <c r="E547" s="326">
        <v>0</v>
      </c>
      <c r="F547" s="326">
        <v>0</v>
      </c>
      <c r="G547" s="347" t="s">
        <v>3470</v>
      </c>
      <c r="H547" s="330" t="s">
        <v>1145</v>
      </c>
      <c r="I547" s="326"/>
      <c r="J547" s="325"/>
      <c r="K547" s="334">
        <f t="shared" si="16"/>
        <v>65848.429999999993</v>
      </c>
      <c r="L547" s="336">
        <v>65848.429999999993</v>
      </c>
      <c r="M547" s="336"/>
      <c r="N547" s="336">
        <f t="shared" si="17"/>
        <v>27988.57</v>
      </c>
      <c r="O547" s="336">
        <v>27988.57</v>
      </c>
      <c r="P547" s="336"/>
    </row>
    <row r="548" spans="1:16">
      <c r="A548" s="177">
        <v>320</v>
      </c>
      <c r="B548" s="326">
        <v>200</v>
      </c>
      <c r="C548" s="326">
        <v>101</v>
      </c>
      <c r="D548" s="326">
        <v>500</v>
      </c>
      <c r="E548" s="326">
        <v>0</v>
      </c>
      <c r="F548" s="326">
        <v>0</v>
      </c>
      <c r="G548" s="347" t="s">
        <v>3471</v>
      </c>
      <c r="H548" s="330" t="s">
        <v>1132</v>
      </c>
      <c r="I548" s="326"/>
      <c r="J548" s="325"/>
      <c r="K548" s="334">
        <f t="shared" si="16"/>
        <v>0</v>
      </c>
      <c r="L548" s="336">
        <v>0</v>
      </c>
      <c r="M548" s="336"/>
      <c r="N548" s="336">
        <f t="shared" si="17"/>
        <v>0</v>
      </c>
      <c r="O548" s="336">
        <v>0</v>
      </c>
      <c r="P548" s="336"/>
    </row>
    <row r="549" spans="1:16">
      <c r="A549" s="177">
        <v>320</v>
      </c>
      <c r="B549" s="326">
        <v>200</v>
      </c>
      <c r="C549" s="326">
        <v>101</v>
      </c>
      <c r="D549" s="326">
        <v>600</v>
      </c>
      <c r="E549" s="326">
        <v>0</v>
      </c>
      <c r="F549" s="326">
        <v>0</v>
      </c>
      <c r="G549" s="347" t="s">
        <v>3472</v>
      </c>
      <c r="H549" s="330" t="s">
        <v>1115</v>
      </c>
      <c r="I549" s="326"/>
      <c r="J549" s="325"/>
      <c r="K549" s="334">
        <f t="shared" si="16"/>
        <v>0</v>
      </c>
      <c r="L549" s="336">
        <v>0</v>
      </c>
      <c r="M549" s="336"/>
      <c r="N549" s="336">
        <f t="shared" si="17"/>
        <v>0</v>
      </c>
      <c r="O549" s="336">
        <v>0</v>
      </c>
      <c r="P549" s="336"/>
    </row>
    <row r="550" spans="1:16">
      <c r="A550" s="177">
        <v>320</v>
      </c>
      <c r="B550" s="326">
        <v>200</v>
      </c>
      <c r="C550" s="326">
        <v>101</v>
      </c>
      <c r="D550" s="326">
        <v>600</v>
      </c>
      <c r="E550" s="326">
        <v>5</v>
      </c>
      <c r="F550" s="326">
        <v>0</v>
      </c>
      <c r="G550" s="347" t="s">
        <v>3473</v>
      </c>
      <c r="H550" s="330" t="s">
        <v>1116</v>
      </c>
      <c r="I550" s="326"/>
      <c r="J550" s="325"/>
      <c r="K550" s="334">
        <f t="shared" si="16"/>
        <v>0</v>
      </c>
      <c r="L550" s="336">
        <v>0</v>
      </c>
      <c r="M550" s="336"/>
      <c r="N550" s="336">
        <f t="shared" si="17"/>
        <v>0</v>
      </c>
      <c r="O550" s="336">
        <v>0</v>
      </c>
      <c r="P550" s="336"/>
    </row>
    <row r="551" spans="1:16">
      <c r="A551" s="177">
        <v>320</v>
      </c>
      <c r="B551" s="326">
        <v>200</v>
      </c>
      <c r="C551" s="326">
        <v>101</v>
      </c>
      <c r="D551" s="326">
        <v>600</v>
      </c>
      <c r="E551" s="326">
        <v>10</v>
      </c>
      <c r="F551" s="326">
        <v>0</v>
      </c>
      <c r="G551" s="347" t="s">
        <v>3474</v>
      </c>
      <c r="H551" s="330" t="s">
        <v>1117</v>
      </c>
      <c r="I551" s="326"/>
      <c r="J551" s="325"/>
      <c r="K551" s="334">
        <f t="shared" si="16"/>
        <v>0</v>
      </c>
      <c r="L551" s="336">
        <v>0</v>
      </c>
      <c r="M551" s="336"/>
      <c r="N551" s="336">
        <f t="shared" si="17"/>
        <v>0</v>
      </c>
      <c r="O551" s="336">
        <v>0</v>
      </c>
      <c r="P551" s="336"/>
    </row>
    <row r="552" spans="1:16">
      <c r="A552" s="177">
        <v>320</v>
      </c>
      <c r="B552" s="326">
        <v>200</v>
      </c>
      <c r="C552" s="326">
        <v>101</v>
      </c>
      <c r="D552" s="326">
        <v>600</v>
      </c>
      <c r="E552" s="326">
        <v>15</v>
      </c>
      <c r="F552" s="326">
        <v>0</v>
      </c>
      <c r="G552" s="347" t="s">
        <v>3475</v>
      </c>
      <c r="H552" s="330" t="s">
        <v>1146</v>
      </c>
      <c r="I552" s="326"/>
      <c r="J552" s="325"/>
      <c r="K552" s="334">
        <f t="shared" si="16"/>
        <v>235.36</v>
      </c>
      <c r="L552" s="336">
        <v>235.36</v>
      </c>
      <c r="M552" s="336"/>
      <c r="N552" s="336">
        <f t="shared" si="17"/>
        <v>0</v>
      </c>
      <c r="O552" s="336">
        <v>0</v>
      </c>
      <c r="P552" s="336"/>
    </row>
    <row r="553" spans="1:16">
      <c r="A553" s="177">
        <v>320</v>
      </c>
      <c r="B553" s="326">
        <v>200</v>
      </c>
      <c r="C553" s="326">
        <v>101</v>
      </c>
      <c r="D553" s="326">
        <v>700</v>
      </c>
      <c r="E553" s="326">
        <v>0</v>
      </c>
      <c r="F553" s="326">
        <v>0</v>
      </c>
      <c r="G553" s="347" t="s">
        <v>3476</v>
      </c>
      <c r="H553" s="330" t="s">
        <v>1135</v>
      </c>
      <c r="I553" s="326"/>
      <c r="J553" s="325"/>
      <c r="K553" s="334">
        <f t="shared" si="16"/>
        <v>145414.72</v>
      </c>
      <c r="L553" s="336">
        <v>145414.72</v>
      </c>
      <c r="M553" s="336"/>
      <c r="N553" s="336">
        <f t="shared" si="17"/>
        <v>112429.75</v>
      </c>
      <c r="O553" s="336">
        <v>112429.75</v>
      </c>
      <c r="P553" s="336"/>
    </row>
    <row r="554" spans="1:16" ht="25.5">
      <c r="A554" s="177">
        <v>320</v>
      </c>
      <c r="B554" s="326">
        <v>200</v>
      </c>
      <c r="C554" s="326">
        <v>102</v>
      </c>
      <c r="D554" s="326">
        <v>0</v>
      </c>
      <c r="E554" s="326">
        <v>0</v>
      </c>
      <c r="F554" s="326">
        <v>0</v>
      </c>
      <c r="G554" s="331" t="s">
        <v>3477</v>
      </c>
      <c r="H554" s="331" t="s">
        <v>3478</v>
      </c>
      <c r="I554" s="326" t="s">
        <v>1142</v>
      </c>
      <c r="J554" s="325"/>
      <c r="K554" s="335"/>
      <c r="L554" s="335">
        <v>0</v>
      </c>
      <c r="M554" s="335"/>
      <c r="N554" s="335">
        <f t="shared" si="17"/>
        <v>0</v>
      </c>
      <c r="O554" s="335">
        <v>0</v>
      </c>
      <c r="P554" s="335"/>
    </row>
    <row r="555" spans="1:16">
      <c r="A555" s="177">
        <v>320</v>
      </c>
      <c r="B555" s="326">
        <v>200</v>
      </c>
      <c r="C555" s="326">
        <v>102</v>
      </c>
      <c r="D555" s="326">
        <v>100</v>
      </c>
      <c r="E555" s="326">
        <v>0</v>
      </c>
      <c r="F555" s="326">
        <v>0</v>
      </c>
      <c r="G555" s="347" t="s">
        <v>3479</v>
      </c>
      <c r="H555" s="330" t="s">
        <v>1107</v>
      </c>
      <c r="I555" s="326"/>
      <c r="J555" s="325"/>
      <c r="K555" s="334">
        <f t="shared" si="16"/>
        <v>236427.45</v>
      </c>
      <c r="L555" s="336">
        <v>236427.45</v>
      </c>
      <c r="M555" s="336"/>
      <c r="N555" s="336">
        <f t="shared" si="17"/>
        <v>195214.87</v>
      </c>
      <c r="O555" s="336">
        <v>195214.87</v>
      </c>
      <c r="P555" s="336"/>
    </row>
    <row r="556" spans="1:16">
      <c r="A556" s="177">
        <v>320</v>
      </c>
      <c r="B556" s="326">
        <v>200</v>
      </c>
      <c r="C556" s="326">
        <v>102</v>
      </c>
      <c r="D556" s="326">
        <v>200</v>
      </c>
      <c r="E556" s="326">
        <v>0</v>
      </c>
      <c r="F556" s="326">
        <v>0</v>
      </c>
      <c r="G556" s="347" t="s">
        <v>3480</v>
      </c>
      <c r="H556" s="330" t="s">
        <v>1143</v>
      </c>
      <c r="I556" s="326"/>
      <c r="J556" s="325"/>
      <c r="K556" s="334">
        <f t="shared" si="16"/>
        <v>0</v>
      </c>
      <c r="L556" s="336">
        <v>0</v>
      </c>
      <c r="M556" s="336"/>
      <c r="N556" s="336">
        <f t="shared" si="17"/>
        <v>0</v>
      </c>
      <c r="O556" s="336">
        <v>0</v>
      </c>
      <c r="P556" s="336"/>
    </row>
    <row r="557" spans="1:16">
      <c r="A557" s="177">
        <v>320</v>
      </c>
      <c r="B557" s="326">
        <v>200</v>
      </c>
      <c r="C557" s="326">
        <v>102</v>
      </c>
      <c r="D557" s="326">
        <v>300</v>
      </c>
      <c r="E557" s="326">
        <v>0</v>
      </c>
      <c r="F557" s="326">
        <v>0</v>
      </c>
      <c r="G557" s="347" t="s">
        <v>3481</v>
      </c>
      <c r="H557" s="330" t="s">
        <v>1144</v>
      </c>
      <c r="I557" s="326"/>
      <c r="J557" s="325"/>
      <c r="K557" s="334">
        <f t="shared" si="16"/>
        <v>0</v>
      </c>
      <c r="L557" s="336">
        <v>0</v>
      </c>
      <c r="M557" s="336"/>
      <c r="N557" s="336">
        <f t="shared" si="17"/>
        <v>0</v>
      </c>
      <c r="O557" s="336">
        <v>0</v>
      </c>
      <c r="P557" s="336"/>
    </row>
    <row r="558" spans="1:16">
      <c r="A558" s="177">
        <v>320</v>
      </c>
      <c r="B558" s="326">
        <v>200</v>
      </c>
      <c r="C558" s="326">
        <v>102</v>
      </c>
      <c r="D558" s="326">
        <v>301</v>
      </c>
      <c r="E558" s="326">
        <v>0</v>
      </c>
      <c r="F558" s="326">
        <v>0</v>
      </c>
      <c r="G558" s="347" t="s">
        <v>3482</v>
      </c>
      <c r="H558" s="330" t="s">
        <v>2274</v>
      </c>
      <c r="I558" s="326"/>
      <c r="J558" s="325"/>
      <c r="K558" s="334">
        <f t="shared" si="16"/>
        <v>8931.7900000000009</v>
      </c>
      <c r="L558" s="336">
        <v>8931.7900000000009</v>
      </c>
      <c r="M558" s="336"/>
      <c r="N558" s="336">
        <f t="shared" si="17"/>
        <v>7580.11</v>
      </c>
      <c r="O558" s="336">
        <v>7580.11</v>
      </c>
      <c r="P558" s="336"/>
    </row>
    <row r="559" spans="1:16">
      <c r="A559" s="177">
        <v>320</v>
      </c>
      <c r="B559" s="326">
        <v>200</v>
      </c>
      <c r="C559" s="326">
        <v>102</v>
      </c>
      <c r="D559" s="326">
        <v>302</v>
      </c>
      <c r="E559" s="326">
        <v>0</v>
      </c>
      <c r="F559" s="326">
        <v>0</v>
      </c>
      <c r="G559" s="347" t="s">
        <v>3483</v>
      </c>
      <c r="H559" s="330" t="s">
        <v>2276</v>
      </c>
      <c r="I559" s="326"/>
      <c r="J559" s="325"/>
      <c r="K559" s="334">
        <f t="shared" si="16"/>
        <v>51331.6</v>
      </c>
      <c r="L559" s="336">
        <v>51331.6</v>
      </c>
      <c r="M559" s="336"/>
      <c r="N559" s="336">
        <f t="shared" si="17"/>
        <v>43553.98</v>
      </c>
      <c r="O559" s="336">
        <v>43553.98</v>
      </c>
      <c r="P559" s="336"/>
    </row>
    <row r="560" spans="1:16">
      <c r="A560" s="177">
        <v>320</v>
      </c>
      <c r="B560" s="326">
        <v>200</v>
      </c>
      <c r="C560" s="326">
        <v>102</v>
      </c>
      <c r="D560" s="326">
        <v>400</v>
      </c>
      <c r="E560" s="326">
        <v>0</v>
      </c>
      <c r="F560" s="326">
        <v>0</v>
      </c>
      <c r="G560" s="347" t="s">
        <v>3484</v>
      </c>
      <c r="H560" s="330" t="s">
        <v>1145</v>
      </c>
      <c r="I560" s="326"/>
      <c r="J560" s="325"/>
      <c r="K560" s="334">
        <f t="shared" si="16"/>
        <v>31134.82</v>
      </c>
      <c r="L560" s="336">
        <v>31134.82</v>
      </c>
      <c r="M560" s="336"/>
      <c r="N560" s="336">
        <f t="shared" si="17"/>
        <v>22877.93181818182</v>
      </c>
      <c r="O560" s="336">
        <v>22877.93181818182</v>
      </c>
      <c r="P560" s="336"/>
    </row>
    <row r="561" spans="1:16">
      <c r="A561" s="177">
        <v>320</v>
      </c>
      <c r="B561" s="326">
        <v>200</v>
      </c>
      <c r="C561" s="326">
        <v>102</v>
      </c>
      <c r="D561" s="326">
        <v>500</v>
      </c>
      <c r="E561" s="326">
        <v>0</v>
      </c>
      <c r="F561" s="326">
        <v>0</v>
      </c>
      <c r="G561" s="347" t="s">
        <v>3485</v>
      </c>
      <c r="H561" s="330" t="s">
        <v>1132</v>
      </c>
      <c r="I561" s="326"/>
      <c r="J561" s="325"/>
      <c r="K561" s="334">
        <f t="shared" si="16"/>
        <v>0</v>
      </c>
      <c r="L561" s="336">
        <v>0</v>
      </c>
      <c r="M561" s="336"/>
      <c r="N561" s="336">
        <f t="shared" si="17"/>
        <v>0</v>
      </c>
      <c r="O561" s="336">
        <v>0</v>
      </c>
      <c r="P561" s="336"/>
    </row>
    <row r="562" spans="1:16">
      <c r="A562" s="177">
        <v>320</v>
      </c>
      <c r="B562" s="326">
        <v>200</v>
      </c>
      <c r="C562" s="326">
        <v>102</v>
      </c>
      <c r="D562" s="326">
        <v>600</v>
      </c>
      <c r="E562" s="326">
        <v>0</v>
      </c>
      <c r="F562" s="326">
        <v>0</v>
      </c>
      <c r="G562" s="347" t="s">
        <v>3486</v>
      </c>
      <c r="H562" s="330" t="s">
        <v>1115</v>
      </c>
      <c r="I562" s="326"/>
      <c r="J562" s="325"/>
      <c r="K562" s="334">
        <f t="shared" si="16"/>
        <v>0</v>
      </c>
      <c r="L562" s="336">
        <v>0</v>
      </c>
      <c r="M562" s="336"/>
      <c r="N562" s="336">
        <f t="shared" si="17"/>
        <v>0</v>
      </c>
      <c r="O562" s="336">
        <v>0</v>
      </c>
      <c r="P562" s="336"/>
    </row>
    <row r="563" spans="1:16">
      <c r="A563" s="177">
        <v>320</v>
      </c>
      <c r="B563" s="326">
        <v>200</v>
      </c>
      <c r="C563" s="326">
        <v>102</v>
      </c>
      <c r="D563" s="326">
        <v>600</v>
      </c>
      <c r="E563" s="326">
        <v>5</v>
      </c>
      <c r="F563" s="326">
        <v>0</v>
      </c>
      <c r="G563" s="347" t="s">
        <v>3487</v>
      </c>
      <c r="H563" s="330" t="s">
        <v>1116</v>
      </c>
      <c r="I563" s="326"/>
      <c r="J563" s="325"/>
      <c r="K563" s="334">
        <f t="shared" si="16"/>
        <v>0</v>
      </c>
      <c r="L563" s="336">
        <v>0</v>
      </c>
      <c r="M563" s="336"/>
      <c r="N563" s="336">
        <f t="shared" si="17"/>
        <v>0</v>
      </c>
      <c r="O563" s="336">
        <v>0</v>
      </c>
      <c r="P563" s="336"/>
    </row>
    <row r="564" spans="1:16">
      <c r="A564" s="177">
        <v>320</v>
      </c>
      <c r="B564" s="326">
        <v>200</v>
      </c>
      <c r="C564" s="326">
        <v>102</v>
      </c>
      <c r="D564" s="326">
        <v>600</v>
      </c>
      <c r="E564" s="326">
        <v>10</v>
      </c>
      <c r="F564" s="326">
        <v>0</v>
      </c>
      <c r="G564" s="347" t="s">
        <v>3488</v>
      </c>
      <c r="H564" s="330" t="s">
        <v>1117</v>
      </c>
      <c r="I564" s="326"/>
      <c r="J564" s="325"/>
      <c r="K564" s="334">
        <f t="shared" si="16"/>
        <v>0</v>
      </c>
      <c r="L564" s="336">
        <v>0</v>
      </c>
      <c r="M564" s="336"/>
      <c r="N564" s="336">
        <f t="shared" si="17"/>
        <v>0</v>
      </c>
      <c r="O564" s="336">
        <v>0</v>
      </c>
      <c r="P564" s="336"/>
    </row>
    <row r="565" spans="1:16">
      <c r="A565" s="177">
        <v>320</v>
      </c>
      <c r="B565" s="326">
        <v>200</v>
      </c>
      <c r="C565" s="326">
        <v>102</v>
      </c>
      <c r="D565" s="326">
        <v>600</v>
      </c>
      <c r="E565" s="326">
        <v>15</v>
      </c>
      <c r="F565" s="326">
        <v>0</v>
      </c>
      <c r="G565" s="347" t="s">
        <v>3489</v>
      </c>
      <c r="H565" s="330" t="s">
        <v>1146</v>
      </c>
      <c r="I565" s="326"/>
      <c r="J565" s="325"/>
      <c r="K565" s="334">
        <f t="shared" si="16"/>
        <v>0</v>
      </c>
      <c r="L565" s="336">
        <v>0</v>
      </c>
      <c r="M565" s="336"/>
      <c r="N565" s="336">
        <f t="shared" si="17"/>
        <v>0</v>
      </c>
      <c r="O565" s="336">
        <v>0</v>
      </c>
      <c r="P565" s="336"/>
    </row>
    <row r="566" spans="1:16">
      <c r="A566" s="177">
        <v>320</v>
      </c>
      <c r="B566" s="326">
        <v>200</v>
      </c>
      <c r="C566" s="326">
        <v>102</v>
      </c>
      <c r="D566" s="326">
        <v>700</v>
      </c>
      <c r="E566" s="326">
        <v>0</v>
      </c>
      <c r="F566" s="326">
        <v>0</v>
      </c>
      <c r="G566" s="347" t="s">
        <v>3490</v>
      </c>
      <c r="H566" s="330" t="s">
        <v>1135</v>
      </c>
      <c r="I566" s="326"/>
      <c r="J566" s="325"/>
      <c r="K566" s="334">
        <f t="shared" si="16"/>
        <v>101659.41</v>
      </c>
      <c r="L566" s="336">
        <v>101659.41</v>
      </c>
      <c r="M566" s="336"/>
      <c r="N566" s="336">
        <f t="shared" si="17"/>
        <v>82670.143636363631</v>
      </c>
      <c r="O566" s="336">
        <v>82670.143636363631</v>
      </c>
      <c r="P566" s="336"/>
    </row>
    <row r="567" spans="1:16" ht="25.5">
      <c r="A567" s="177">
        <v>320</v>
      </c>
      <c r="B567" s="326">
        <v>200</v>
      </c>
      <c r="C567" s="326">
        <v>200</v>
      </c>
      <c r="D567" s="326">
        <v>0</v>
      </c>
      <c r="E567" s="326">
        <v>0</v>
      </c>
      <c r="F567" s="326">
        <v>0</v>
      </c>
      <c r="G567" s="331" t="s">
        <v>2841</v>
      </c>
      <c r="H567" s="331" t="s">
        <v>1147</v>
      </c>
      <c r="I567" s="326" t="s">
        <v>1148</v>
      </c>
      <c r="J567" s="325"/>
      <c r="K567" s="335">
        <f t="shared" si="16"/>
        <v>0</v>
      </c>
      <c r="L567" s="335">
        <v>0</v>
      </c>
      <c r="M567" s="335"/>
      <c r="N567" s="335">
        <f t="shared" si="17"/>
        <v>0</v>
      </c>
      <c r="O567" s="335">
        <v>0</v>
      </c>
      <c r="P567" s="335"/>
    </row>
    <row r="568" spans="1:16">
      <c r="A568" s="177">
        <v>320</v>
      </c>
      <c r="B568" s="326">
        <v>200</v>
      </c>
      <c r="C568" s="326">
        <v>200</v>
      </c>
      <c r="D568" s="326">
        <v>100</v>
      </c>
      <c r="E568" s="326">
        <v>0</v>
      </c>
      <c r="F568" s="326">
        <v>0</v>
      </c>
      <c r="G568" s="347" t="s">
        <v>2842</v>
      </c>
      <c r="H568" s="330" t="s">
        <v>1107</v>
      </c>
      <c r="I568" s="326"/>
      <c r="J568" s="326"/>
      <c r="K568" s="334">
        <f t="shared" si="16"/>
        <v>483208.61</v>
      </c>
      <c r="L568" s="334">
        <v>483208.61</v>
      </c>
      <c r="M568" s="334"/>
      <c r="N568" s="334">
        <f t="shared" si="17"/>
        <v>294726.87</v>
      </c>
      <c r="O568" s="334">
        <v>294726.87</v>
      </c>
      <c r="P568" s="334"/>
    </row>
    <row r="569" spans="1:16">
      <c r="A569" s="177">
        <v>320</v>
      </c>
      <c r="B569" s="326">
        <v>200</v>
      </c>
      <c r="C569" s="326">
        <v>200</v>
      </c>
      <c r="D569" s="326">
        <v>200</v>
      </c>
      <c r="E569" s="326">
        <v>0</v>
      </c>
      <c r="F569" s="326">
        <v>0</v>
      </c>
      <c r="G569" s="347" t="s">
        <v>2843</v>
      </c>
      <c r="H569" s="330" t="s">
        <v>1143</v>
      </c>
      <c r="I569" s="326"/>
      <c r="J569" s="326"/>
      <c r="K569" s="334">
        <f t="shared" si="16"/>
        <v>9778.5300000000007</v>
      </c>
      <c r="L569" s="334">
        <v>9778.5300000000007</v>
      </c>
      <c r="M569" s="334"/>
      <c r="N569" s="334">
        <f t="shared" si="17"/>
        <v>4968.41</v>
      </c>
      <c r="O569" s="334">
        <v>4968.41</v>
      </c>
      <c r="P569" s="334"/>
    </row>
    <row r="570" spans="1:16">
      <c r="A570" s="177">
        <v>320</v>
      </c>
      <c r="B570" s="326">
        <v>200</v>
      </c>
      <c r="C570" s="326">
        <v>200</v>
      </c>
      <c r="D570" s="326">
        <v>300</v>
      </c>
      <c r="E570" s="326">
        <v>0</v>
      </c>
      <c r="F570" s="326">
        <v>0</v>
      </c>
      <c r="G570" s="347" t="s">
        <v>2844</v>
      </c>
      <c r="H570" s="330" t="s">
        <v>1144</v>
      </c>
      <c r="I570" s="326"/>
      <c r="J570" s="326"/>
      <c r="K570" s="334">
        <f t="shared" si="16"/>
        <v>6852.62</v>
      </c>
      <c r="L570" s="334">
        <v>6852.62</v>
      </c>
      <c r="M570" s="334"/>
      <c r="N570" s="334">
        <f t="shared" si="17"/>
        <v>4268.8900000000003</v>
      </c>
      <c r="O570" s="334">
        <v>4268.8900000000003</v>
      </c>
      <c r="P570" s="334"/>
    </row>
    <row r="571" spans="1:16">
      <c r="A571" s="177">
        <v>320</v>
      </c>
      <c r="B571" s="326">
        <v>200</v>
      </c>
      <c r="C571" s="326">
        <v>200</v>
      </c>
      <c r="D571" s="326">
        <v>301</v>
      </c>
      <c r="E571" s="326">
        <v>0</v>
      </c>
      <c r="F571" s="326">
        <v>0</v>
      </c>
      <c r="G571" s="347" t="s">
        <v>2266</v>
      </c>
      <c r="H571" s="330" t="s">
        <v>2263</v>
      </c>
      <c r="I571" s="326"/>
      <c r="J571" s="326"/>
      <c r="K571" s="334">
        <f t="shared" si="16"/>
        <v>19589.189999999999</v>
      </c>
      <c r="L571" s="334">
        <v>19589.189999999999</v>
      </c>
      <c r="M571" s="334"/>
      <c r="N571" s="334">
        <f t="shared" si="17"/>
        <v>14981.41</v>
      </c>
      <c r="O571" s="334">
        <v>14981.41</v>
      </c>
      <c r="P571" s="334"/>
    </row>
    <row r="572" spans="1:16">
      <c r="A572" s="177">
        <v>320</v>
      </c>
      <c r="B572" s="326">
        <v>200</v>
      </c>
      <c r="C572" s="326">
        <v>200</v>
      </c>
      <c r="D572" s="326">
        <v>302</v>
      </c>
      <c r="E572" s="326">
        <v>0</v>
      </c>
      <c r="F572" s="326">
        <v>0</v>
      </c>
      <c r="G572" s="347" t="s">
        <v>2267</v>
      </c>
      <c r="H572" s="330" t="s">
        <v>2265</v>
      </c>
      <c r="I572" s="326"/>
      <c r="J572" s="326"/>
      <c r="K572" s="334">
        <f t="shared" si="16"/>
        <v>6527.81</v>
      </c>
      <c r="L572" s="334">
        <v>6527.81</v>
      </c>
      <c r="M572" s="334"/>
      <c r="N572" s="334">
        <f t="shared" si="17"/>
        <v>4014.22</v>
      </c>
      <c r="O572" s="334">
        <v>4014.22</v>
      </c>
      <c r="P572" s="334"/>
    </row>
    <row r="573" spans="1:16">
      <c r="A573" s="177">
        <v>320</v>
      </c>
      <c r="B573" s="326">
        <v>200</v>
      </c>
      <c r="C573" s="326">
        <v>200</v>
      </c>
      <c r="D573" s="326">
        <v>400</v>
      </c>
      <c r="E573" s="326">
        <v>0</v>
      </c>
      <c r="F573" s="326">
        <v>0</v>
      </c>
      <c r="G573" s="347" t="s">
        <v>2845</v>
      </c>
      <c r="H573" s="330" t="s">
        <v>1145</v>
      </c>
      <c r="I573" s="326"/>
      <c r="J573" s="326"/>
      <c r="K573" s="334">
        <f t="shared" si="16"/>
        <v>45183.93</v>
      </c>
      <c r="L573" s="334">
        <v>45183.93</v>
      </c>
      <c r="M573" s="334"/>
      <c r="N573" s="334">
        <f t="shared" si="17"/>
        <v>29499.18</v>
      </c>
      <c r="O573" s="334">
        <v>29499.18</v>
      </c>
      <c r="P573" s="334"/>
    </row>
    <row r="574" spans="1:16">
      <c r="A574" s="177">
        <v>320</v>
      </c>
      <c r="B574" s="326">
        <v>200</v>
      </c>
      <c r="C574" s="326">
        <v>200</v>
      </c>
      <c r="D574" s="326">
        <v>500</v>
      </c>
      <c r="E574" s="326">
        <v>0</v>
      </c>
      <c r="F574" s="326">
        <v>0</v>
      </c>
      <c r="G574" s="347" t="s">
        <v>2846</v>
      </c>
      <c r="H574" s="330" t="s">
        <v>1132</v>
      </c>
      <c r="I574" s="326"/>
      <c r="J574" s="326"/>
      <c r="K574" s="334">
        <f t="shared" si="16"/>
        <v>77828.5</v>
      </c>
      <c r="L574" s="334">
        <v>77828.5</v>
      </c>
      <c r="M574" s="334"/>
      <c r="N574" s="334">
        <f t="shared" si="17"/>
        <v>23410.93</v>
      </c>
      <c r="O574" s="334">
        <v>23410.93</v>
      </c>
      <c r="P574" s="334"/>
    </row>
    <row r="575" spans="1:16">
      <c r="A575" s="177">
        <v>320</v>
      </c>
      <c r="B575" s="326">
        <v>200</v>
      </c>
      <c r="C575" s="326">
        <v>200</v>
      </c>
      <c r="D575" s="326">
        <v>600</v>
      </c>
      <c r="E575" s="326">
        <v>0</v>
      </c>
      <c r="F575" s="326">
        <v>0</v>
      </c>
      <c r="G575" s="348" t="s">
        <v>2847</v>
      </c>
      <c r="H575" s="331" t="s">
        <v>1115</v>
      </c>
      <c r="I575" s="326"/>
      <c r="J575" s="325"/>
      <c r="K575" s="335">
        <f t="shared" si="16"/>
        <v>0</v>
      </c>
      <c r="L575" s="335">
        <v>0</v>
      </c>
      <c r="M575" s="335"/>
      <c r="N575" s="335">
        <f t="shared" si="17"/>
        <v>0</v>
      </c>
      <c r="O575" s="335">
        <v>0</v>
      </c>
      <c r="P575" s="335"/>
    </row>
    <row r="576" spans="1:16">
      <c r="A576" s="177">
        <v>320</v>
      </c>
      <c r="B576" s="326">
        <v>200</v>
      </c>
      <c r="C576" s="326">
        <v>200</v>
      </c>
      <c r="D576" s="326">
        <v>600</v>
      </c>
      <c r="E576" s="326">
        <v>5</v>
      </c>
      <c r="F576" s="326">
        <v>0</v>
      </c>
      <c r="G576" s="347" t="s">
        <v>2848</v>
      </c>
      <c r="H576" s="330" t="s">
        <v>1116</v>
      </c>
      <c r="I576" s="326"/>
      <c r="J576" s="326"/>
      <c r="K576" s="334">
        <f t="shared" si="16"/>
        <v>0</v>
      </c>
      <c r="L576" s="334">
        <v>0</v>
      </c>
      <c r="M576" s="334"/>
      <c r="N576" s="334">
        <f t="shared" si="17"/>
        <v>0</v>
      </c>
      <c r="O576" s="334">
        <v>0</v>
      </c>
      <c r="P576" s="334"/>
    </row>
    <row r="577" spans="1:16">
      <c r="A577" s="177">
        <v>320</v>
      </c>
      <c r="B577" s="326">
        <v>200</v>
      </c>
      <c r="C577" s="326">
        <v>200</v>
      </c>
      <c r="D577" s="326">
        <v>600</v>
      </c>
      <c r="E577" s="326">
        <v>10</v>
      </c>
      <c r="F577" s="326">
        <v>0</v>
      </c>
      <c r="G577" s="347" t="s">
        <v>2849</v>
      </c>
      <c r="H577" s="330" t="s">
        <v>1117</v>
      </c>
      <c r="I577" s="326"/>
      <c r="J577" s="326"/>
      <c r="K577" s="334">
        <f t="shared" si="16"/>
        <v>0</v>
      </c>
      <c r="L577" s="334">
        <v>0</v>
      </c>
      <c r="M577" s="334"/>
      <c r="N577" s="334">
        <f t="shared" si="17"/>
        <v>0</v>
      </c>
      <c r="O577" s="334">
        <v>0</v>
      </c>
      <c r="P577" s="334"/>
    </row>
    <row r="578" spans="1:16">
      <c r="A578" s="177">
        <v>320</v>
      </c>
      <c r="B578" s="326">
        <v>200</v>
      </c>
      <c r="C578" s="326">
        <v>200</v>
      </c>
      <c r="D578" s="326">
        <v>600</v>
      </c>
      <c r="E578" s="326">
        <v>15</v>
      </c>
      <c r="F578" s="326">
        <v>0</v>
      </c>
      <c r="G578" s="347" t="s">
        <v>2850</v>
      </c>
      <c r="H578" s="330" t="s">
        <v>1146</v>
      </c>
      <c r="I578" s="326"/>
      <c r="J578" s="326"/>
      <c r="K578" s="334">
        <f t="shared" si="16"/>
        <v>47.2</v>
      </c>
      <c r="L578" s="334">
        <v>47.2</v>
      </c>
      <c r="M578" s="334"/>
      <c r="N578" s="334">
        <f t="shared" si="17"/>
        <v>21.45</v>
      </c>
      <c r="O578" s="334">
        <v>21.45</v>
      </c>
      <c r="P578" s="334"/>
    </row>
    <row r="579" spans="1:16">
      <c r="A579" s="177">
        <v>320</v>
      </c>
      <c r="B579" s="326">
        <v>200</v>
      </c>
      <c r="C579" s="326">
        <v>200</v>
      </c>
      <c r="D579" s="326">
        <v>700</v>
      </c>
      <c r="E579" s="326">
        <v>0</v>
      </c>
      <c r="F579" s="326">
        <v>0</v>
      </c>
      <c r="G579" s="347" t="s">
        <v>2851</v>
      </c>
      <c r="H579" s="330" t="s">
        <v>1135</v>
      </c>
      <c r="I579" s="326"/>
      <c r="J579" s="326"/>
      <c r="K579" s="334">
        <f t="shared" si="16"/>
        <v>201634.46</v>
      </c>
      <c r="L579" s="334">
        <v>201634.46</v>
      </c>
      <c r="M579" s="334"/>
      <c r="N579" s="334">
        <f t="shared" si="17"/>
        <v>117268.58</v>
      </c>
      <c r="O579" s="334">
        <v>117268.58</v>
      </c>
      <c r="P579" s="334"/>
    </row>
    <row r="580" spans="1:16" ht="25.5">
      <c r="A580" s="177">
        <v>320</v>
      </c>
      <c r="B580" s="326">
        <v>200</v>
      </c>
      <c r="C580" s="326">
        <v>201</v>
      </c>
      <c r="D580" s="326">
        <v>0</v>
      </c>
      <c r="E580" s="326">
        <v>0</v>
      </c>
      <c r="F580" s="326">
        <v>0</v>
      </c>
      <c r="G580" s="347" t="s">
        <v>2268</v>
      </c>
      <c r="H580" s="331" t="s">
        <v>2269</v>
      </c>
      <c r="I580" s="326" t="s">
        <v>1148</v>
      </c>
      <c r="J580" s="326"/>
      <c r="K580" s="335">
        <f t="shared" si="16"/>
        <v>0</v>
      </c>
      <c r="L580" s="335">
        <v>0</v>
      </c>
      <c r="M580" s="335"/>
      <c r="N580" s="335">
        <f t="shared" si="17"/>
        <v>0</v>
      </c>
      <c r="O580" s="335">
        <v>0</v>
      </c>
      <c r="P580" s="335"/>
    </row>
    <row r="581" spans="1:16">
      <c r="A581" s="177">
        <v>320</v>
      </c>
      <c r="B581" s="326">
        <v>200</v>
      </c>
      <c r="C581" s="326">
        <v>201</v>
      </c>
      <c r="D581" s="326">
        <v>100</v>
      </c>
      <c r="E581" s="326">
        <v>0</v>
      </c>
      <c r="F581" s="326">
        <v>0</v>
      </c>
      <c r="G581" s="347" t="s">
        <v>2270</v>
      </c>
      <c r="H581" s="330" t="s">
        <v>1107</v>
      </c>
      <c r="I581" s="326"/>
      <c r="J581" s="326"/>
      <c r="K581" s="334">
        <f t="shared" si="16"/>
        <v>1038843.61</v>
      </c>
      <c r="L581" s="334">
        <v>1038843.61</v>
      </c>
      <c r="M581" s="334"/>
      <c r="N581" s="334">
        <f t="shared" si="17"/>
        <v>989701.51</v>
      </c>
      <c r="O581" s="334">
        <v>989701.51</v>
      </c>
      <c r="P581" s="334"/>
    </row>
    <row r="582" spans="1:16">
      <c r="A582" s="177">
        <v>320</v>
      </c>
      <c r="B582" s="326">
        <v>200</v>
      </c>
      <c r="C582" s="326">
        <v>201</v>
      </c>
      <c r="D582" s="326">
        <v>200</v>
      </c>
      <c r="E582" s="326">
        <v>0</v>
      </c>
      <c r="F582" s="326">
        <v>0</v>
      </c>
      <c r="G582" s="347" t="s">
        <v>2271</v>
      </c>
      <c r="H582" s="330" t="s">
        <v>1143</v>
      </c>
      <c r="I582" s="326"/>
      <c r="J582" s="326"/>
      <c r="K582" s="334">
        <f t="shared" si="16"/>
        <v>0</v>
      </c>
      <c r="L582" s="334">
        <v>0</v>
      </c>
      <c r="M582" s="334"/>
      <c r="N582" s="334">
        <f t="shared" si="17"/>
        <v>0</v>
      </c>
      <c r="O582" s="334">
        <v>0</v>
      </c>
      <c r="P582" s="334"/>
    </row>
    <row r="583" spans="1:16">
      <c r="A583" s="177">
        <v>320</v>
      </c>
      <c r="B583" s="326">
        <v>200</v>
      </c>
      <c r="C583" s="326">
        <v>201</v>
      </c>
      <c r="D583" s="326">
        <v>300</v>
      </c>
      <c r="E583" s="326">
        <v>0</v>
      </c>
      <c r="F583" s="326">
        <v>0</v>
      </c>
      <c r="G583" s="347" t="s">
        <v>2272</v>
      </c>
      <c r="H583" s="330" t="s">
        <v>1144</v>
      </c>
      <c r="I583" s="326"/>
      <c r="J583" s="326"/>
      <c r="K583" s="334">
        <f t="shared" si="16"/>
        <v>0</v>
      </c>
      <c r="L583" s="334">
        <v>0</v>
      </c>
      <c r="M583" s="334"/>
      <c r="N583" s="334">
        <f t="shared" ref="N583:N646" si="18">+O583+P583</f>
        <v>0</v>
      </c>
      <c r="O583" s="334">
        <v>0</v>
      </c>
      <c r="P583" s="334"/>
    </row>
    <row r="584" spans="1:16">
      <c r="A584" s="177">
        <v>320</v>
      </c>
      <c r="B584" s="326">
        <v>200</v>
      </c>
      <c r="C584" s="326">
        <v>201</v>
      </c>
      <c r="D584" s="326">
        <v>301</v>
      </c>
      <c r="E584" s="326">
        <v>0</v>
      </c>
      <c r="F584" s="326">
        <v>0</v>
      </c>
      <c r="G584" s="347" t="s">
        <v>2273</v>
      </c>
      <c r="H584" s="330" t="s">
        <v>2274</v>
      </c>
      <c r="I584" s="326"/>
      <c r="J584" s="326"/>
      <c r="K584" s="334">
        <f t="shared" si="16"/>
        <v>65516.13</v>
      </c>
      <c r="L584" s="334">
        <v>65516.13</v>
      </c>
      <c r="M584" s="334"/>
      <c r="N584" s="334">
        <f t="shared" si="18"/>
        <v>80688.62</v>
      </c>
      <c r="O584" s="334">
        <v>80688.62</v>
      </c>
      <c r="P584" s="334"/>
    </row>
    <row r="585" spans="1:16">
      <c r="A585" s="177">
        <v>320</v>
      </c>
      <c r="B585" s="326">
        <v>200</v>
      </c>
      <c r="C585" s="326">
        <v>201</v>
      </c>
      <c r="D585" s="326">
        <v>302</v>
      </c>
      <c r="E585" s="326">
        <v>0</v>
      </c>
      <c r="F585" s="326">
        <v>0</v>
      </c>
      <c r="G585" s="347" t="s">
        <v>2275</v>
      </c>
      <c r="H585" s="330" t="s">
        <v>2276</v>
      </c>
      <c r="I585" s="326"/>
      <c r="J585" s="326"/>
      <c r="K585" s="334">
        <f t="shared" si="16"/>
        <v>0</v>
      </c>
      <c r="L585" s="334">
        <v>0</v>
      </c>
      <c r="M585" s="334"/>
      <c r="N585" s="334">
        <f t="shared" si="18"/>
        <v>0</v>
      </c>
      <c r="O585" s="334">
        <v>0</v>
      </c>
      <c r="P585" s="334"/>
    </row>
    <row r="586" spans="1:16">
      <c r="A586" s="177">
        <v>320</v>
      </c>
      <c r="B586" s="326">
        <v>200</v>
      </c>
      <c r="C586" s="326">
        <v>201</v>
      </c>
      <c r="D586" s="326">
        <v>400</v>
      </c>
      <c r="E586" s="326">
        <v>0</v>
      </c>
      <c r="F586" s="326">
        <v>0</v>
      </c>
      <c r="G586" s="347" t="s">
        <v>2277</v>
      </c>
      <c r="H586" s="330" t="s">
        <v>1145</v>
      </c>
      <c r="I586" s="326"/>
      <c r="J586" s="326"/>
      <c r="K586" s="334">
        <f t="shared" si="16"/>
        <v>136800.65</v>
      </c>
      <c r="L586" s="334">
        <v>136800.65</v>
      </c>
      <c r="M586" s="334"/>
      <c r="N586" s="334">
        <f t="shared" si="18"/>
        <v>187278.71727272728</v>
      </c>
      <c r="O586" s="334">
        <v>187278.71727272728</v>
      </c>
      <c r="P586" s="334"/>
    </row>
    <row r="587" spans="1:16">
      <c r="A587" s="177">
        <v>320</v>
      </c>
      <c r="B587" s="326">
        <v>200</v>
      </c>
      <c r="C587" s="326">
        <v>201</v>
      </c>
      <c r="D587" s="326">
        <v>500</v>
      </c>
      <c r="E587" s="326">
        <v>0</v>
      </c>
      <c r="F587" s="326">
        <v>0</v>
      </c>
      <c r="G587" s="347" t="s">
        <v>2278</v>
      </c>
      <c r="H587" s="330" t="s">
        <v>1132</v>
      </c>
      <c r="I587" s="326"/>
      <c r="J587" s="326"/>
      <c r="K587" s="334">
        <f t="shared" si="16"/>
        <v>0</v>
      </c>
      <c r="L587" s="334">
        <v>0</v>
      </c>
      <c r="M587" s="334"/>
      <c r="N587" s="334">
        <f t="shared" si="18"/>
        <v>0</v>
      </c>
      <c r="O587" s="334">
        <v>0</v>
      </c>
      <c r="P587" s="334"/>
    </row>
    <row r="588" spans="1:16">
      <c r="A588" s="177">
        <v>320</v>
      </c>
      <c r="B588" s="326">
        <v>200</v>
      </c>
      <c r="C588" s="326">
        <v>201</v>
      </c>
      <c r="D588" s="326">
        <v>600</v>
      </c>
      <c r="E588" s="326">
        <v>0</v>
      </c>
      <c r="F588" s="326">
        <v>0</v>
      </c>
      <c r="G588" s="347" t="s">
        <v>2279</v>
      </c>
      <c r="H588" s="330" t="s">
        <v>1115</v>
      </c>
      <c r="I588" s="326"/>
      <c r="J588" s="326"/>
      <c r="K588" s="334">
        <f t="shared" si="16"/>
        <v>0</v>
      </c>
      <c r="L588" s="334">
        <v>0</v>
      </c>
      <c r="M588" s="334"/>
      <c r="N588" s="334">
        <f t="shared" si="18"/>
        <v>0</v>
      </c>
      <c r="O588" s="334">
        <v>0</v>
      </c>
      <c r="P588" s="334"/>
    </row>
    <row r="589" spans="1:16">
      <c r="A589" s="177">
        <v>320</v>
      </c>
      <c r="B589" s="326">
        <v>200</v>
      </c>
      <c r="C589" s="326">
        <v>201</v>
      </c>
      <c r="D589" s="326">
        <v>600</v>
      </c>
      <c r="E589" s="326">
        <v>5</v>
      </c>
      <c r="F589" s="326">
        <v>0</v>
      </c>
      <c r="G589" s="347" t="s">
        <v>2280</v>
      </c>
      <c r="H589" s="330" t="s">
        <v>1116</v>
      </c>
      <c r="I589" s="326"/>
      <c r="J589" s="326"/>
      <c r="K589" s="334">
        <f t="shared" si="16"/>
        <v>0</v>
      </c>
      <c r="L589" s="334">
        <v>0</v>
      </c>
      <c r="M589" s="334"/>
      <c r="N589" s="334">
        <f t="shared" si="18"/>
        <v>0</v>
      </c>
      <c r="O589" s="334">
        <v>0</v>
      </c>
      <c r="P589" s="334"/>
    </row>
    <row r="590" spans="1:16">
      <c r="A590" s="177">
        <v>320</v>
      </c>
      <c r="B590" s="326">
        <v>200</v>
      </c>
      <c r="C590" s="326">
        <v>201</v>
      </c>
      <c r="D590" s="326">
        <v>600</v>
      </c>
      <c r="E590" s="326">
        <v>10</v>
      </c>
      <c r="F590" s="326">
        <v>0</v>
      </c>
      <c r="G590" s="347" t="s">
        <v>2281</v>
      </c>
      <c r="H590" s="330" t="s">
        <v>1117</v>
      </c>
      <c r="I590" s="326"/>
      <c r="J590" s="326"/>
      <c r="K590" s="334">
        <f t="shared" si="16"/>
        <v>0</v>
      </c>
      <c r="L590" s="334">
        <v>0</v>
      </c>
      <c r="M590" s="334"/>
      <c r="N590" s="334">
        <f t="shared" si="18"/>
        <v>0</v>
      </c>
      <c r="O590" s="334">
        <v>0</v>
      </c>
      <c r="P590" s="334"/>
    </row>
    <row r="591" spans="1:16">
      <c r="A591" s="177">
        <v>320</v>
      </c>
      <c r="B591" s="326">
        <v>200</v>
      </c>
      <c r="C591" s="326">
        <v>201</v>
      </c>
      <c r="D591" s="326">
        <v>600</v>
      </c>
      <c r="E591" s="326">
        <v>15</v>
      </c>
      <c r="F591" s="326">
        <v>0</v>
      </c>
      <c r="G591" s="347" t="s">
        <v>2282</v>
      </c>
      <c r="H591" s="330" t="s">
        <v>1146</v>
      </c>
      <c r="I591" s="326"/>
      <c r="J591" s="326"/>
      <c r="K591" s="334">
        <f t="shared" si="16"/>
        <v>87.73</v>
      </c>
      <c r="L591" s="334">
        <v>87.73</v>
      </c>
      <c r="M591" s="334"/>
      <c r="N591" s="334">
        <f t="shared" si="18"/>
        <v>610.37</v>
      </c>
      <c r="O591" s="334">
        <v>610.37</v>
      </c>
      <c r="P591" s="334"/>
    </row>
    <row r="592" spans="1:16">
      <c r="A592" s="177">
        <v>320</v>
      </c>
      <c r="B592" s="326">
        <v>200</v>
      </c>
      <c r="C592" s="326">
        <v>201</v>
      </c>
      <c r="D592" s="326">
        <v>700</v>
      </c>
      <c r="E592" s="326">
        <v>0</v>
      </c>
      <c r="F592" s="326">
        <v>0</v>
      </c>
      <c r="G592" s="347" t="s">
        <v>2283</v>
      </c>
      <c r="H592" s="330" t="s">
        <v>1135</v>
      </c>
      <c r="I592" s="326"/>
      <c r="J592" s="326"/>
      <c r="K592" s="334">
        <f t="shared" si="16"/>
        <v>393085.24</v>
      </c>
      <c r="L592" s="334">
        <v>393085.24</v>
      </c>
      <c r="M592" s="334"/>
      <c r="N592" s="334">
        <f t="shared" si="18"/>
        <v>394279.63</v>
      </c>
      <c r="O592" s="334">
        <v>394279.63</v>
      </c>
      <c r="P592" s="334"/>
    </row>
    <row r="593" spans="1:16" ht="25.5">
      <c r="A593" s="177">
        <v>320</v>
      </c>
      <c r="B593" s="326">
        <v>200</v>
      </c>
      <c r="C593" s="326">
        <v>202</v>
      </c>
      <c r="D593" s="326">
        <v>0</v>
      </c>
      <c r="E593" s="326">
        <v>0</v>
      </c>
      <c r="F593" s="326">
        <v>0</v>
      </c>
      <c r="G593" s="347" t="s">
        <v>2284</v>
      </c>
      <c r="H593" s="331" t="s">
        <v>2285</v>
      </c>
      <c r="I593" s="326" t="s">
        <v>1148</v>
      </c>
      <c r="J593" s="326"/>
      <c r="K593" s="335">
        <f t="shared" si="16"/>
        <v>0</v>
      </c>
      <c r="L593" s="335">
        <v>0</v>
      </c>
      <c r="M593" s="335"/>
      <c r="N593" s="335">
        <f t="shared" si="18"/>
        <v>0</v>
      </c>
      <c r="O593" s="335">
        <v>0</v>
      </c>
      <c r="P593" s="335"/>
    </row>
    <row r="594" spans="1:16">
      <c r="A594" s="177">
        <v>320</v>
      </c>
      <c r="B594" s="326">
        <v>200</v>
      </c>
      <c r="C594" s="326">
        <v>202</v>
      </c>
      <c r="D594" s="326">
        <v>100</v>
      </c>
      <c r="E594" s="326">
        <v>0</v>
      </c>
      <c r="F594" s="326">
        <v>0</v>
      </c>
      <c r="G594" s="347" t="s">
        <v>2286</v>
      </c>
      <c r="H594" s="330" t="s">
        <v>1107</v>
      </c>
      <c r="I594" s="326"/>
      <c r="J594" s="326"/>
      <c r="K594" s="334">
        <f t="shared" si="16"/>
        <v>287248.15000000002</v>
      </c>
      <c r="L594" s="334">
        <v>287248.15000000002</v>
      </c>
      <c r="M594" s="334"/>
      <c r="N594" s="334">
        <f t="shared" si="18"/>
        <v>283339.23</v>
      </c>
      <c r="O594" s="334">
        <v>283339.23</v>
      </c>
      <c r="P594" s="334"/>
    </row>
    <row r="595" spans="1:16">
      <c r="A595" s="177">
        <v>320</v>
      </c>
      <c r="B595" s="326">
        <v>200</v>
      </c>
      <c r="C595" s="326">
        <v>202</v>
      </c>
      <c r="D595" s="326">
        <v>200</v>
      </c>
      <c r="E595" s="326">
        <v>0</v>
      </c>
      <c r="F595" s="326">
        <v>0</v>
      </c>
      <c r="G595" s="347" t="s">
        <v>2287</v>
      </c>
      <c r="H595" s="330" t="s">
        <v>1143</v>
      </c>
      <c r="I595" s="326"/>
      <c r="J595" s="326"/>
      <c r="K595" s="334">
        <f t="shared" si="16"/>
        <v>2815.85</v>
      </c>
      <c r="L595" s="334">
        <v>2815.85</v>
      </c>
      <c r="M595" s="334"/>
      <c r="N595" s="334">
        <f t="shared" si="18"/>
        <v>2166.91</v>
      </c>
      <c r="O595" s="334">
        <v>2166.91</v>
      </c>
      <c r="P595" s="334"/>
    </row>
    <row r="596" spans="1:16">
      <c r="A596" s="177">
        <v>320</v>
      </c>
      <c r="B596" s="326">
        <v>200</v>
      </c>
      <c r="C596" s="326">
        <v>202</v>
      </c>
      <c r="D596" s="326">
        <v>300</v>
      </c>
      <c r="E596" s="326">
        <v>0</v>
      </c>
      <c r="F596" s="326">
        <v>0</v>
      </c>
      <c r="G596" s="347" t="s">
        <v>2288</v>
      </c>
      <c r="H596" s="330" t="s">
        <v>1144</v>
      </c>
      <c r="I596" s="326"/>
      <c r="J596" s="326"/>
      <c r="K596" s="334">
        <f t="shared" si="16"/>
        <v>0</v>
      </c>
      <c r="L596" s="334">
        <v>0</v>
      </c>
      <c r="M596" s="334"/>
      <c r="N596" s="334">
        <f t="shared" si="18"/>
        <v>0</v>
      </c>
      <c r="O596" s="334">
        <v>0</v>
      </c>
      <c r="P596" s="334"/>
    </row>
    <row r="597" spans="1:16">
      <c r="A597" s="177">
        <v>320</v>
      </c>
      <c r="B597" s="326">
        <v>200</v>
      </c>
      <c r="C597" s="326">
        <v>202</v>
      </c>
      <c r="D597" s="326">
        <v>301</v>
      </c>
      <c r="E597" s="326">
        <v>0</v>
      </c>
      <c r="F597" s="326">
        <v>0</v>
      </c>
      <c r="G597" s="347" t="s">
        <v>2289</v>
      </c>
      <c r="H597" s="330" t="s">
        <v>2274</v>
      </c>
      <c r="I597" s="326"/>
      <c r="J597" s="326"/>
      <c r="K597" s="334">
        <f t="shared" si="16"/>
        <v>10807.25</v>
      </c>
      <c r="L597" s="334">
        <v>10807.25</v>
      </c>
      <c r="M597" s="334"/>
      <c r="N597" s="334">
        <f t="shared" si="18"/>
        <v>10912.19</v>
      </c>
      <c r="O597" s="334">
        <v>10912.19</v>
      </c>
      <c r="P597" s="334"/>
    </row>
    <row r="598" spans="1:16">
      <c r="A598" s="177">
        <v>320</v>
      </c>
      <c r="B598" s="326">
        <v>200</v>
      </c>
      <c r="C598" s="326">
        <v>202</v>
      </c>
      <c r="D598" s="326">
        <v>302</v>
      </c>
      <c r="E598" s="326">
        <v>0</v>
      </c>
      <c r="F598" s="326">
        <v>0</v>
      </c>
      <c r="G598" s="347" t="s">
        <v>2290</v>
      </c>
      <c r="H598" s="330" t="s">
        <v>2276</v>
      </c>
      <c r="I598" s="326"/>
      <c r="J598" s="326"/>
      <c r="K598" s="334">
        <f t="shared" si="16"/>
        <v>2976.44</v>
      </c>
      <c r="L598" s="334">
        <v>2976.44</v>
      </c>
      <c r="M598" s="334"/>
      <c r="N598" s="334">
        <f t="shared" si="18"/>
        <v>10718.16</v>
      </c>
      <c r="O598" s="334">
        <v>10718.16</v>
      </c>
      <c r="P598" s="334"/>
    </row>
    <row r="599" spans="1:16">
      <c r="A599" s="177">
        <v>320</v>
      </c>
      <c r="B599" s="326">
        <v>200</v>
      </c>
      <c r="C599" s="326">
        <v>202</v>
      </c>
      <c r="D599" s="326">
        <v>400</v>
      </c>
      <c r="E599" s="326">
        <v>0</v>
      </c>
      <c r="F599" s="326">
        <v>0</v>
      </c>
      <c r="G599" s="347" t="s">
        <v>2291</v>
      </c>
      <c r="H599" s="330" t="s">
        <v>1145</v>
      </c>
      <c r="I599" s="326"/>
      <c r="J599" s="326"/>
      <c r="K599" s="334">
        <f t="shared" si="16"/>
        <v>37813.269999999997</v>
      </c>
      <c r="L599" s="334">
        <v>37813.269999999997</v>
      </c>
      <c r="M599" s="334"/>
      <c r="N599" s="334">
        <f t="shared" si="18"/>
        <v>51204.610909090916</v>
      </c>
      <c r="O599" s="334">
        <v>51204.610909090916</v>
      </c>
      <c r="P599" s="334"/>
    </row>
    <row r="600" spans="1:16">
      <c r="A600" s="177">
        <v>320</v>
      </c>
      <c r="B600" s="326">
        <v>200</v>
      </c>
      <c r="C600" s="326">
        <v>202</v>
      </c>
      <c r="D600" s="326">
        <v>500</v>
      </c>
      <c r="E600" s="326">
        <v>0</v>
      </c>
      <c r="F600" s="326">
        <v>0</v>
      </c>
      <c r="G600" s="347" t="s">
        <v>2292</v>
      </c>
      <c r="H600" s="330" t="s">
        <v>1132</v>
      </c>
      <c r="I600" s="326"/>
      <c r="J600" s="326"/>
      <c r="K600" s="334">
        <f t="shared" si="16"/>
        <v>0</v>
      </c>
      <c r="L600" s="334">
        <v>0</v>
      </c>
      <c r="M600" s="334"/>
      <c r="N600" s="334">
        <f t="shared" si="18"/>
        <v>0</v>
      </c>
      <c r="O600" s="334">
        <v>0</v>
      </c>
      <c r="P600" s="334"/>
    </row>
    <row r="601" spans="1:16">
      <c r="A601" s="177">
        <v>320</v>
      </c>
      <c r="B601" s="326">
        <v>200</v>
      </c>
      <c r="C601" s="326">
        <v>202</v>
      </c>
      <c r="D601" s="326">
        <v>600</v>
      </c>
      <c r="E601" s="326">
        <v>0</v>
      </c>
      <c r="F601" s="326">
        <v>0</v>
      </c>
      <c r="G601" s="347" t="s">
        <v>2293</v>
      </c>
      <c r="H601" s="330" t="s">
        <v>1115</v>
      </c>
      <c r="I601" s="326"/>
      <c r="J601" s="326"/>
      <c r="K601" s="334">
        <f t="shared" si="16"/>
        <v>0</v>
      </c>
      <c r="L601" s="334">
        <v>0</v>
      </c>
      <c r="M601" s="334"/>
      <c r="N601" s="334">
        <f t="shared" si="18"/>
        <v>0</v>
      </c>
      <c r="O601" s="334">
        <v>0</v>
      </c>
      <c r="P601" s="334"/>
    </row>
    <row r="602" spans="1:16">
      <c r="A602" s="177">
        <v>320</v>
      </c>
      <c r="B602" s="326">
        <v>200</v>
      </c>
      <c r="C602" s="326">
        <v>202</v>
      </c>
      <c r="D602" s="326">
        <v>600</v>
      </c>
      <c r="E602" s="326">
        <v>5</v>
      </c>
      <c r="F602" s="326">
        <v>0</v>
      </c>
      <c r="G602" s="347" t="s">
        <v>2294</v>
      </c>
      <c r="H602" s="330" t="s">
        <v>1116</v>
      </c>
      <c r="I602" s="326"/>
      <c r="J602" s="326"/>
      <c r="K602" s="334">
        <f t="shared" si="16"/>
        <v>0</v>
      </c>
      <c r="L602" s="334">
        <v>0</v>
      </c>
      <c r="M602" s="334"/>
      <c r="N602" s="334">
        <f t="shared" si="18"/>
        <v>0</v>
      </c>
      <c r="O602" s="334">
        <v>0</v>
      </c>
      <c r="P602" s="334"/>
    </row>
    <row r="603" spans="1:16">
      <c r="A603" s="177">
        <v>320</v>
      </c>
      <c r="B603" s="326">
        <v>200</v>
      </c>
      <c r="C603" s="326">
        <v>202</v>
      </c>
      <c r="D603" s="326">
        <v>600</v>
      </c>
      <c r="E603" s="326">
        <v>10</v>
      </c>
      <c r="F603" s="326">
        <v>0</v>
      </c>
      <c r="G603" s="347" t="s">
        <v>2295</v>
      </c>
      <c r="H603" s="330" t="s">
        <v>1117</v>
      </c>
      <c r="I603" s="326"/>
      <c r="J603" s="326"/>
      <c r="K603" s="334">
        <f t="shared" si="16"/>
        <v>0</v>
      </c>
      <c r="L603" s="334">
        <v>0</v>
      </c>
      <c r="M603" s="334"/>
      <c r="N603" s="334">
        <f t="shared" si="18"/>
        <v>0</v>
      </c>
      <c r="O603" s="334">
        <v>0</v>
      </c>
      <c r="P603" s="334"/>
    </row>
    <row r="604" spans="1:16">
      <c r="A604" s="177">
        <v>320</v>
      </c>
      <c r="B604" s="326">
        <v>200</v>
      </c>
      <c r="C604" s="326">
        <v>202</v>
      </c>
      <c r="D604" s="326">
        <v>600</v>
      </c>
      <c r="E604" s="326">
        <v>15</v>
      </c>
      <c r="F604" s="326">
        <v>0</v>
      </c>
      <c r="G604" s="347" t="s">
        <v>2296</v>
      </c>
      <c r="H604" s="330" t="s">
        <v>1146</v>
      </c>
      <c r="I604" s="326"/>
      <c r="J604" s="326"/>
      <c r="K604" s="334">
        <f t="shared" si="16"/>
        <v>0</v>
      </c>
      <c r="L604" s="334">
        <v>0</v>
      </c>
      <c r="M604" s="334"/>
      <c r="N604" s="334">
        <f t="shared" si="18"/>
        <v>54</v>
      </c>
      <c r="O604" s="334">
        <v>54</v>
      </c>
      <c r="P604" s="334"/>
    </row>
    <row r="605" spans="1:16">
      <c r="A605" s="177">
        <v>320</v>
      </c>
      <c r="B605" s="326">
        <v>200</v>
      </c>
      <c r="C605" s="326">
        <v>202</v>
      </c>
      <c r="D605" s="326">
        <v>700</v>
      </c>
      <c r="E605" s="326">
        <v>0</v>
      </c>
      <c r="F605" s="326">
        <v>0</v>
      </c>
      <c r="G605" s="347" t="s">
        <v>2297</v>
      </c>
      <c r="H605" s="330" t="s">
        <v>1135</v>
      </c>
      <c r="I605" s="326"/>
      <c r="J605" s="326"/>
      <c r="K605" s="334">
        <f t="shared" si="16"/>
        <v>108148.07</v>
      </c>
      <c r="L605" s="334">
        <v>108148.07</v>
      </c>
      <c r="M605" s="334"/>
      <c r="N605" s="334">
        <f t="shared" si="18"/>
        <v>112187.22</v>
      </c>
      <c r="O605" s="334">
        <v>112187.22</v>
      </c>
      <c r="P605" s="334"/>
    </row>
    <row r="606" spans="1:16">
      <c r="A606" s="177">
        <v>320</v>
      </c>
      <c r="B606" s="326">
        <v>200</v>
      </c>
      <c r="C606" s="326">
        <v>300</v>
      </c>
      <c r="D606" s="326">
        <v>0</v>
      </c>
      <c r="E606" s="326">
        <v>0</v>
      </c>
      <c r="F606" s="326">
        <v>0</v>
      </c>
      <c r="G606" s="330" t="s">
        <v>2852</v>
      </c>
      <c r="H606" s="330" t="s">
        <v>1149</v>
      </c>
      <c r="I606" s="326" t="s">
        <v>1150</v>
      </c>
      <c r="J606" s="326"/>
      <c r="K606" s="334">
        <f t="shared" si="16"/>
        <v>0</v>
      </c>
      <c r="L606" s="334">
        <v>0</v>
      </c>
      <c r="M606" s="334"/>
      <c r="N606" s="334">
        <f t="shared" si="18"/>
        <v>0</v>
      </c>
      <c r="O606" s="334">
        <v>0</v>
      </c>
      <c r="P606" s="334"/>
    </row>
    <row r="607" spans="1:16">
      <c r="A607" s="403">
        <v>325</v>
      </c>
      <c r="B607" s="404">
        <v>0</v>
      </c>
      <c r="C607" s="404">
        <v>0</v>
      </c>
      <c r="D607" s="404">
        <v>0</v>
      </c>
      <c r="E607" s="404">
        <v>0</v>
      </c>
      <c r="F607" s="404">
        <v>0</v>
      </c>
      <c r="G607" s="339">
        <v>325</v>
      </c>
      <c r="H607" s="339" t="s">
        <v>1151</v>
      </c>
      <c r="I607" s="55" t="s">
        <v>1152</v>
      </c>
      <c r="J607" s="55"/>
      <c r="K607" s="335">
        <f t="shared" si="16"/>
        <v>0</v>
      </c>
      <c r="L607" s="335">
        <v>0</v>
      </c>
      <c r="M607" s="335"/>
      <c r="N607" s="335">
        <f t="shared" si="18"/>
        <v>0</v>
      </c>
      <c r="O607" s="335">
        <v>0</v>
      </c>
      <c r="P607" s="335"/>
    </row>
    <row r="608" spans="1:16">
      <c r="A608" s="177">
        <v>325</v>
      </c>
      <c r="B608" s="326">
        <v>100</v>
      </c>
      <c r="C608" s="326">
        <v>0</v>
      </c>
      <c r="D608" s="326">
        <v>0</v>
      </c>
      <c r="E608" s="326">
        <v>0</v>
      </c>
      <c r="F608" s="326">
        <v>0</v>
      </c>
      <c r="G608" s="331" t="s">
        <v>2853</v>
      </c>
      <c r="H608" s="331" t="s">
        <v>1153</v>
      </c>
      <c r="I608" s="326" t="s">
        <v>1154</v>
      </c>
      <c r="J608" s="325"/>
      <c r="K608" s="335">
        <f t="shared" si="16"/>
        <v>0</v>
      </c>
      <c r="L608" s="335">
        <v>0</v>
      </c>
      <c r="M608" s="335"/>
      <c r="N608" s="335">
        <f t="shared" si="18"/>
        <v>0</v>
      </c>
      <c r="O608" s="335">
        <v>0</v>
      </c>
      <c r="P608" s="335"/>
    </row>
    <row r="609" spans="1:16" ht="25.5">
      <c r="A609" s="177">
        <v>325</v>
      </c>
      <c r="B609" s="326">
        <v>100</v>
      </c>
      <c r="C609" s="326">
        <v>100</v>
      </c>
      <c r="D609" s="326">
        <v>0</v>
      </c>
      <c r="E609" s="326">
        <v>0</v>
      </c>
      <c r="F609" s="326">
        <v>0</v>
      </c>
      <c r="G609" s="331" t="s">
        <v>2854</v>
      </c>
      <c r="H609" s="331" t="s">
        <v>1155</v>
      </c>
      <c r="I609" s="326" t="s">
        <v>1156</v>
      </c>
      <c r="J609" s="325"/>
      <c r="K609" s="335">
        <f t="shared" ref="K609:K682" si="19">+L609+M609</f>
        <v>0</v>
      </c>
      <c r="L609" s="335">
        <v>0</v>
      </c>
      <c r="M609" s="335"/>
      <c r="N609" s="335">
        <f t="shared" si="18"/>
        <v>0</v>
      </c>
      <c r="O609" s="335">
        <v>0</v>
      </c>
      <c r="P609" s="335"/>
    </row>
    <row r="610" spans="1:16">
      <c r="A610" s="177">
        <v>325</v>
      </c>
      <c r="B610" s="326">
        <v>100</v>
      </c>
      <c r="C610" s="326">
        <v>100</v>
      </c>
      <c r="D610" s="326">
        <v>100</v>
      </c>
      <c r="E610" s="326">
        <v>0</v>
      </c>
      <c r="F610" s="326">
        <v>0</v>
      </c>
      <c r="G610" s="347" t="s">
        <v>2855</v>
      </c>
      <c r="H610" s="330" t="s">
        <v>1107</v>
      </c>
      <c r="I610" s="326"/>
      <c r="J610" s="326"/>
      <c r="K610" s="334">
        <f t="shared" si="19"/>
        <v>79562.17</v>
      </c>
      <c r="L610" s="334">
        <v>79562.17</v>
      </c>
      <c r="M610" s="334"/>
      <c r="N610" s="334">
        <f t="shared" si="18"/>
        <v>94876.55</v>
      </c>
      <c r="O610" s="334">
        <v>94876.55</v>
      </c>
      <c r="P610" s="334"/>
    </row>
    <row r="611" spans="1:16">
      <c r="A611" s="177">
        <v>325</v>
      </c>
      <c r="B611" s="326">
        <v>100</v>
      </c>
      <c r="C611" s="326">
        <v>100</v>
      </c>
      <c r="D611" s="326">
        <v>200</v>
      </c>
      <c r="E611" s="326">
        <v>0</v>
      </c>
      <c r="F611" s="326">
        <v>0</v>
      </c>
      <c r="G611" s="347" t="s">
        <v>2856</v>
      </c>
      <c r="H611" s="330" t="s">
        <v>1108</v>
      </c>
      <c r="I611" s="326"/>
      <c r="J611" s="326"/>
      <c r="K611" s="334">
        <f t="shared" si="19"/>
        <v>40845.72</v>
      </c>
      <c r="L611" s="334">
        <v>40845.72</v>
      </c>
      <c r="M611" s="334"/>
      <c r="N611" s="334">
        <f t="shared" si="18"/>
        <v>56200.81</v>
      </c>
      <c r="O611" s="334">
        <v>56200.81</v>
      </c>
      <c r="P611" s="334"/>
    </row>
    <row r="612" spans="1:16">
      <c r="A612" s="177">
        <v>325</v>
      </c>
      <c r="B612" s="326">
        <v>100</v>
      </c>
      <c r="C612" s="326">
        <v>100</v>
      </c>
      <c r="D612" s="326">
        <v>300</v>
      </c>
      <c r="E612" s="326">
        <v>0</v>
      </c>
      <c r="F612" s="326">
        <v>0</v>
      </c>
      <c r="G612" s="347" t="s">
        <v>2857</v>
      </c>
      <c r="H612" s="330" t="s">
        <v>1131</v>
      </c>
      <c r="I612" s="326"/>
      <c r="J612" s="326"/>
      <c r="K612" s="334">
        <f t="shared" si="19"/>
        <v>8199.1299999999992</v>
      </c>
      <c r="L612" s="334">
        <v>8199.1299999999992</v>
      </c>
      <c r="M612" s="334"/>
      <c r="N612" s="334">
        <f t="shared" si="18"/>
        <v>14272.58</v>
      </c>
      <c r="O612" s="334">
        <v>14272.58</v>
      </c>
      <c r="P612" s="334"/>
    </row>
    <row r="613" spans="1:16">
      <c r="A613" s="177">
        <v>325</v>
      </c>
      <c r="B613" s="326">
        <v>100</v>
      </c>
      <c r="C613" s="326">
        <v>100</v>
      </c>
      <c r="D613" s="326">
        <v>400</v>
      </c>
      <c r="E613" s="326">
        <v>0</v>
      </c>
      <c r="F613" s="326">
        <v>0</v>
      </c>
      <c r="G613" s="347" t="s">
        <v>2858</v>
      </c>
      <c r="H613" s="330" t="s">
        <v>1132</v>
      </c>
      <c r="I613" s="326"/>
      <c r="J613" s="326"/>
      <c r="K613" s="334">
        <f t="shared" si="19"/>
        <v>235.76</v>
      </c>
      <c r="L613" s="334">
        <v>235.76</v>
      </c>
      <c r="M613" s="334"/>
      <c r="N613" s="334">
        <f t="shared" si="18"/>
        <v>432.77</v>
      </c>
      <c r="O613" s="334">
        <v>432.77</v>
      </c>
      <c r="P613" s="334"/>
    </row>
    <row r="614" spans="1:16">
      <c r="A614" s="177">
        <v>325</v>
      </c>
      <c r="B614" s="326">
        <v>100</v>
      </c>
      <c r="C614" s="326">
        <v>100</v>
      </c>
      <c r="D614" s="326">
        <v>500</v>
      </c>
      <c r="E614" s="326">
        <v>0</v>
      </c>
      <c r="F614" s="326">
        <v>0</v>
      </c>
      <c r="G614" s="348" t="s">
        <v>2859</v>
      </c>
      <c r="H614" s="331" t="s">
        <v>1115</v>
      </c>
      <c r="I614" s="326"/>
      <c r="J614" s="325"/>
      <c r="K614" s="335">
        <f t="shared" si="19"/>
        <v>0</v>
      </c>
      <c r="L614" s="335">
        <v>0</v>
      </c>
      <c r="M614" s="335"/>
      <c r="N614" s="335">
        <f t="shared" si="18"/>
        <v>0</v>
      </c>
      <c r="O614" s="335">
        <v>0</v>
      </c>
      <c r="P614" s="335"/>
    </row>
    <row r="615" spans="1:16">
      <c r="A615" s="177">
        <v>325</v>
      </c>
      <c r="B615" s="326">
        <v>100</v>
      </c>
      <c r="C615" s="326">
        <v>100</v>
      </c>
      <c r="D615" s="326">
        <v>500</v>
      </c>
      <c r="E615" s="326">
        <v>5</v>
      </c>
      <c r="F615" s="326">
        <v>0</v>
      </c>
      <c r="G615" s="347" t="s">
        <v>2860</v>
      </c>
      <c r="H615" s="330" t="s">
        <v>1116</v>
      </c>
      <c r="I615" s="326"/>
      <c r="J615" s="326"/>
      <c r="K615" s="334">
        <f t="shared" si="19"/>
        <v>0</v>
      </c>
      <c r="L615" s="334">
        <v>0</v>
      </c>
      <c r="M615" s="334"/>
      <c r="N615" s="334">
        <f t="shared" si="18"/>
        <v>0</v>
      </c>
      <c r="O615" s="334">
        <v>0</v>
      </c>
      <c r="P615" s="334"/>
    </row>
    <row r="616" spans="1:16">
      <c r="A616" s="177">
        <v>325</v>
      </c>
      <c r="B616" s="326">
        <v>100</v>
      </c>
      <c r="C616" s="326">
        <v>100</v>
      </c>
      <c r="D616" s="326">
        <v>500</v>
      </c>
      <c r="E616" s="326">
        <v>10</v>
      </c>
      <c r="F616" s="326">
        <v>0</v>
      </c>
      <c r="G616" s="347" t="s">
        <v>2861</v>
      </c>
      <c r="H616" s="330" t="s">
        <v>1117</v>
      </c>
      <c r="I616" s="326"/>
      <c r="J616" s="326"/>
      <c r="K616" s="334">
        <f t="shared" si="19"/>
        <v>0</v>
      </c>
      <c r="L616" s="334">
        <v>0</v>
      </c>
      <c r="M616" s="334"/>
      <c r="N616" s="334">
        <f t="shared" si="18"/>
        <v>0</v>
      </c>
      <c r="O616" s="334">
        <v>0</v>
      </c>
      <c r="P616" s="334"/>
    </row>
    <row r="617" spans="1:16" ht="25.5">
      <c r="A617" s="177">
        <v>325</v>
      </c>
      <c r="B617" s="326">
        <v>100</v>
      </c>
      <c r="C617" s="326">
        <v>100</v>
      </c>
      <c r="D617" s="326">
        <v>500</v>
      </c>
      <c r="E617" s="326">
        <v>15</v>
      </c>
      <c r="F617" s="326">
        <v>0</v>
      </c>
      <c r="G617" s="347" t="s">
        <v>2862</v>
      </c>
      <c r="H617" s="330" t="s">
        <v>1157</v>
      </c>
      <c r="I617" s="326"/>
      <c r="J617" s="326"/>
      <c r="K617" s="334">
        <f t="shared" si="19"/>
        <v>7762.89</v>
      </c>
      <c r="L617" s="334">
        <v>7762.89</v>
      </c>
      <c r="M617" s="334"/>
      <c r="N617" s="334">
        <f t="shared" si="18"/>
        <v>11730.95</v>
      </c>
      <c r="O617" s="334">
        <v>11730.95</v>
      </c>
      <c r="P617" s="334"/>
    </row>
    <row r="618" spans="1:16">
      <c r="A618" s="177">
        <v>325</v>
      </c>
      <c r="B618" s="326">
        <v>100</v>
      </c>
      <c r="C618" s="326">
        <v>100</v>
      </c>
      <c r="D618" s="326">
        <v>900</v>
      </c>
      <c r="E618" s="326">
        <v>0</v>
      </c>
      <c r="F618" s="326">
        <v>0</v>
      </c>
      <c r="G618" s="347" t="s">
        <v>2863</v>
      </c>
      <c r="H618" s="330" t="s">
        <v>1135</v>
      </c>
      <c r="I618" s="326"/>
      <c r="J618" s="326"/>
      <c r="K618" s="334">
        <f t="shared" si="19"/>
        <v>39742.519999999997</v>
      </c>
      <c r="L618" s="334">
        <v>39742.519999999997</v>
      </c>
      <c r="M618" s="334"/>
      <c r="N618" s="334">
        <f t="shared" si="18"/>
        <v>50906.45</v>
      </c>
      <c r="O618" s="334">
        <v>50906.45</v>
      </c>
      <c r="P618" s="334"/>
    </row>
    <row r="619" spans="1:16" ht="25.5">
      <c r="A619" s="177">
        <v>325</v>
      </c>
      <c r="B619" s="326">
        <v>100</v>
      </c>
      <c r="C619" s="326">
        <v>200</v>
      </c>
      <c r="D619" s="326">
        <v>0</v>
      </c>
      <c r="E619" s="326">
        <v>0</v>
      </c>
      <c r="F619" s="326">
        <v>0</v>
      </c>
      <c r="G619" s="331" t="s">
        <v>2864</v>
      </c>
      <c r="H619" s="331" t="s">
        <v>1158</v>
      </c>
      <c r="I619" s="326" t="s">
        <v>1159</v>
      </c>
      <c r="J619" s="325"/>
      <c r="K619" s="335">
        <f t="shared" si="19"/>
        <v>0</v>
      </c>
      <c r="L619" s="335">
        <v>0</v>
      </c>
      <c r="M619" s="335"/>
      <c r="N619" s="335">
        <f t="shared" si="18"/>
        <v>0</v>
      </c>
      <c r="O619" s="335">
        <v>0</v>
      </c>
      <c r="P619" s="335"/>
    </row>
    <row r="620" spans="1:16">
      <c r="A620" s="177">
        <v>325</v>
      </c>
      <c r="B620" s="326">
        <v>100</v>
      </c>
      <c r="C620" s="326">
        <v>200</v>
      </c>
      <c r="D620" s="326">
        <v>100</v>
      </c>
      <c r="E620" s="326">
        <v>0</v>
      </c>
      <c r="F620" s="326">
        <v>0</v>
      </c>
      <c r="G620" s="347" t="s">
        <v>2865</v>
      </c>
      <c r="H620" s="330" t="s">
        <v>1107</v>
      </c>
      <c r="I620" s="326"/>
      <c r="J620" s="326"/>
      <c r="K620" s="334">
        <f t="shared" si="19"/>
        <v>7942.88</v>
      </c>
      <c r="L620" s="334">
        <v>7942.88</v>
      </c>
      <c r="M620" s="334"/>
      <c r="N620" s="334">
        <f t="shared" si="18"/>
        <v>3972.32</v>
      </c>
      <c r="O620" s="334">
        <v>3972.32</v>
      </c>
      <c r="P620" s="334"/>
    </row>
    <row r="621" spans="1:16">
      <c r="A621" s="177">
        <v>325</v>
      </c>
      <c r="B621" s="326">
        <v>100</v>
      </c>
      <c r="C621" s="326">
        <v>200</v>
      </c>
      <c r="D621" s="326">
        <v>200</v>
      </c>
      <c r="E621" s="326">
        <v>0</v>
      </c>
      <c r="F621" s="326">
        <v>0</v>
      </c>
      <c r="G621" s="347" t="s">
        <v>2866</v>
      </c>
      <c r="H621" s="330" t="s">
        <v>1108</v>
      </c>
      <c r="I621" s="326"/>
      <c r="J621" s="326"/>
      <c r="K621" s="334">
        <f t="shared" si="19"/>
        <v>7578.5</v>
      </c>
      <c r="L621" s="334">
        <v>7578.5</v>
      </c>
      <c r="M621" s="334"/>
      <c r="N621" s="334">
        <f t="shared" si="18"/>
        <v>481.25</v>
      </c>
      <c r="O621" s="334">
        <v>481.25</v>
      </c>
      <c r="P621" s="334"/>
    </row>
    <row r="622" spans="1:16">
      <c r="A622" s="177">
        <v>325</v>
      </c>
      <c r="B622" s="326">
        <v>100</v>
      </c>
      <c r="C622" s="326">
        <v>200</v>
      </c>
      <c r="D622" s="326">
        <v>300</v>
      </c>
      <c r="E622" s="326">
        <v>0</v>
      </c>
      <c r="F622" s="326">
        <v>0</v>
      </c>
      <c r="G622" s="347" t="s">
        <v>2867</v>
      </c>
      <c r="H622" s="330" t="s">
        <v>1131</v>
      </c>
      <c r="I622" s="326"/>
      <c r="J622" s="326"/>
      <c r="K622" s="334">
        <f t="shared" si="19"/>
        <v>1446.9</v>
      </c>
      <c r="L622" s="334">
        <v>1446.9</v>
      </c>
      <c r="M622" s="334"/>
      <c r="N622" s="334">
        <f t="shared" si="18"/>
        <v>0</v>
      </c>
      <c r="O622" s="334">
        <v>0</v>
      </c>
      <c r="P622" s="334"/>
    </row>
    <row r="623" spans="1:16">
      <c r="A623" s="177">
        <v>325</v>
      </c>
      <c r="B623" s="326">
        <v>100</v>
      </c>
      <c r="C623" s="326">
        <v>200</v>
      </c>
      <c r="D623" s="326">
        <v>400</v>
      </c>
      <c r="E623" s="326">
        <v>0</v>
      </c>
      <c r="F623" s="326">
        <v>0</v>
      </c>
      <c r="G623" s="347" t="s">
        <v>2868</v>
      </c>
      <c r="H623" s="330" t="s">
        <v>1132</v>
      </c>
      <c r="I623" s="326"/>
      <c r="J623" s="326"/>
      <c r="K623" s="334">
        <f t="shared" si="19"/>
        <v>41.6</v>
      </c>
      <c r="L623" s="334">
        <v>41.6</v>
      </c>
      <c r="M623" s="334"/>
      <c r="N623" s="334">
        <f t="shared" si="18"/>
        <v>0</v>
      </c>
      <c r="O623" s="334">
        <v>0</v>
      </c>
      <c r="P623" s="334"/>
    </row>
    <row r="624" spans="1:16">
      <c r="A624" s="177">
        <v>325</v>
      </c>
      <c r="B624" s="326">
        <v>100</v>
      </c>
      <c r="C624" s="326">
        <v>200</v>
      </c>
      <c r="D624" s="326">
        <v>500</v>
      </c>
      <c r="E624" s="326">
        <v>0</v>
      </c>
      <c r="F624" s="326">
        <v>0</v>
      </c>
      <c r="G624" s="348" t="s">
        <v>2869</v>
      </c>
      <c r="H624" s="331" t="s">
        <v>1115</v>
      </c>
      <c r="I624" s="326"/>
      <c r="J624" s="325"/>
      <c r="K624" s="335">
        <f t="shared" si="19"/>
        <v>0</v>
      </c>
      <c r="L624" s="335">
        <v>0</v>
      </c>
      <c r="M624" s="335"/>
      <c r="N624" s="335">
        <f t="shared" si="18"/>
        <v>0</v>
      </c>
      <c r="O624" s="335">
        <v>0</v>
      </c>
      <c r="P624" s="335"/>
    </row>
    <row r="625" spans="1:16">
      <c r="A625" s="177">
        <v>325</v>
      </c>
      <c r="B625" s="326">
        <v>100</v>
      </c>
      <c r="C625" s="326">
        <v>200</v>
      </c>
      <c r="D625" s="326">
        <v>500</v>
      </c>
      <c r="E625" s="326">
        <v>5</v>
      </c>
      <c r="F625" s="326">
        <v>0</v>
      </c>
      <c r="G625" s="347" t="s">
        <v>2870</v>
      </c>
      <c r="H625" s="330" t="s">
        <v>1116</v>
      </c>
      <c r="I625" s="326"/>
      <c r="J625" s="326"/>
      <c r="K625" s="334">
        <f t="shared" si="19"/>
        <v>0</v>
      </c>
      <c r="L625" s="334">
        <v>0</v>
      </c>
      <c r="M625" s="334"/>
      <c r="N625" s="334">
        <f t="shared" si="18"/>
        <v>0</v>
      </c>
      <c r="O625" s="334">
        <v>0</v>
      </c>
      <c r="P625" s="334"/>
    </row>
    <row r="626" spans="1:16">
      <c r="A626" s="177">
        <v>325</v>
      </c>
      <c r="B626" s="326">
        <v>100</v>
      </c>
      <c r="C626" s="326">
        <v>200</v>
      </c>
      <c r="D626" s="326">
        <v>500</v>
      </c>
      <c r="E626" s="326">
        <v>10</v>
      </c>
      <c r="F626" s="326">
        <v>0</v>
      </c>
      <c r="G626" s="347" t="s">
        <v>2871</v>
      </c>
      <c r="H626" s="330" t="s">
        <v>1117</v>
      </c>
      <c r="I626" s="326"/>
      <c r="J626" s="326"/>
      <c r="K626" s="334">
        <f t="shared" si="19"/>
        <v>0</v>
      </c>
      <c r="L626" s="334">
        <v>0</v>
      </c>
      <c r="M626" s="334"/>
      <c r="N626" s="334">
        <f t="shared" si="18"/>
        <v>0</v>
      </c>
      <c r="O626" s="334">
        <v>0</v>
      </c>
      <c r="P626" s="334"/>
    </row>
    <row r="627" spans="1:16" ht="25.5">
      <c r="A627" s="177">
        <v>325</v>
      </c>
      <c r="B627" s="326">
        <v>100</v>
      </c>
      <c r="C627" s="326">
        <v>200</v>
      </c>
      <c r="D627" s="326">
        <v>500</v>
      </c>
      <c r="E627" s="326">
        <v>15</v>
      </c>
      <c r="F627" s="326">
        <v>0</v>
      </c>
      <c r="G627" s="347" t="s">
        <v>2872</v>
      </c>
      <c r="H627" s="330" t="s">
        <v>1157</v>
      </c>
      <c r="I627" s="326"/>
      <c r="J627" s="326"/>
      <c r="K627" s="334">
        <f t="shared" si="19"/>
        <v>0</v>
      </c>
      <c r="L627" s="334">
        <v>0</v>
      </c>
      <c r="M627" s="334"/>
      <c r="N627" s="334">
        <f t="shared" si="18"/>
        <v>46.44</v>
      </c>
      <c r="O627" s="334">
        <v>46.44</v>
      </c>
      <c r="P627" s="334"/>
    </row>
    <row r="628" spans="1:16">
      <c r="A628" s="177">
        <v>325</v>
      </c>
      <c r="B628" s="326">
        <v>100</v>
      </c>
      <c r="C628" s="326">
        <v>200</v>
      </c>
      <c r="D628" s="326">
        <v>900</v>
      </c>
      <c r="E628" s="326">
        <v>0</v>
      </c>
      <c r="F628" s="326">
        <v>0</v>
      </c>
      <c r="G628" s="347" t="s">
        <v>2873</v>
      </c>
      <c r="H628" s="330" t="s">
        <v>1135</v>
      </c>
      <c r="I628" s="326"/>
      <c r="J628" s="326"/>
      <c r="K628" s="334">
        <f t="shared" si="19"/>
        <v>4899.53</v>
      </c>
      <c r="L628" s="334">
        <v>4899.53</v>
      </c>
      <c r="M628" s="334"/>
      <c r="N628" s="334">
        <f t="shared" si="18"/>
        <v>1399.39</v>
      </c>
      <c r="O628" s="334">
        <v>1399.39</v>
      </c>
      <c r="P628" s="334"/>
    </row>
    <row r="629" spans="1:16" ht="25.5">
      <c r="A629" s="177">
        <v>325</v>
      </c>
      <c r="B629" s="326">
        <v>100</v>
      </c>
      <c r="C629" s="326">
        <v>300</v>
      </c>
      <c r="D629" s="326">
        <v>0</v>
      </c>
      <c r="E629" s="326">
        <v>0</v>
      </c>
      <c r="F629" s="326">
        <v>0</v>
      </c>
      <c r="G629" s="331" t="s">
        <v>2874</v>
      </c>
      <c r="H629" s="330" t="s">
        <v>1160</v>
      </c>
      <c r="I629" s="326" t="s">
        <v>1161</v>
      </c>
      <c r="J629" s="326"/>
      <c r="K629" s="334">
        <f t="shared" si="19"/>
        <v>0</v>
      </c>
      <c r="L629" s="334">
        <v>0</v>
      </c>
      <c r="M629" s="334"/>
      <c r="N629" s="334">
        <f t="shared" si="18"/>
        <v>0</v>
      </c>
      <c r="O629" s="334">
        <v>0</v>
      </c>
      <c r="P629" s="334"/>
    </row>
    <row r="630" spans="1:16">
      <c r="A630" s="177">
        <v>325</v>
      </c>
      <c r="B630" s="326">
        <v>200</v>
      </c>
      <c r="C630" s="326">
        <v>0</v>
      </c>
      <c r="D630" s="326">
        <v>0</v>
      </c>
      <c r="E630" s="326">
        <v>0</v>
      </c>
      <c r="F630" s="326">
        <v>0</v>
      </c>
      <c r="G630" s="331" t="s">
        <v>2875</v>
      </c>
      <c r="H630" s="331" t="s">
        <v>1162</v>
      </c>
      <c r="I630" s="326" t="s">
        <v>1163</v>
      </c>
      <c r="J630" s="325"/>
      <c r="K630" s="335">
        <f t="shared" si="19"/>
        <v>0</v>
      </c>
      <c r="L630" s="335">
        <v>0</v>
      </c>
      <c r="M630" s="335"/>
      <c r="N630" s="335">
        <f t="shared" si="18"/>
        <v>0</v>
      </c>
      <c r="O630" s="335">
        <v>0</v>
      </c>
      <c r="P630" s="335"/>
    </row>
    <row r="631" spans="1:16" ht="25.5">
      <c r="A631" s="177">
        <v>325</v>
      </c>
      <c r="B631" s="326">
        <v>200</v>
      </c>
      <c r="C631" s="326">
        <v>100</v>
      </c>
      <c r="D631" s="326">
        <v>0</v>
      </c>
      <c r="E631" s="326">
        <v>0</v>
      </c>
      <c r="F631" s="326">
        <v>0</v>
      </c>
      <c r="G631" s="331" t="s">
        <v>2876</v>
      </c>
      <c r="H631" s="331" t="s">
        <v>1164</v>
      </c>
      <c r="I631" s="326" t="s">
        <v>1165</v>
      </c>
      <c r="J631" s="325"/>
      <c r="K631" s="335">
        <f t="shared" si="19"/>
        <v>0</v>
      </c>
      <c r="L631" s="335">
        <v>0</v>
      </c>
      <c r="M631" s="335"/>
      <c r="N631" s="335">
        <f t="shared" si="18"/>
        <v>0</v>
      </c>
      <c r="O631" s="335">
        <v>0</v>
      </c>
      <c r="P631" s="335"/>
    </row>
    <row r="632" spans="1:16">
      <c r="A632" s="177">
        <v>325</v>
      </c>
      <c r="B632" s="326">
        <v>200</v>
      </c>
      <c r="C632" s="326">
        <v>100</v>
      </c>
      <c r="D632" s="326">
        <v>100</v>
      </c>
      <c r="E632" s="326">
        <v>0</v>
      </c>
      <c r="F632" s="326">
        <v>0</v>
      </c>
      <c r="G632" s="347" t="s">
        <v>2877</v>
      </c>
      <c r="H632" s="330" t="s">
        <v>1107</v>
      </c>
      <c r="I632" s="326"/>
      <c r="J632" s="326"/>
      <c r="K632" s="334">
        <f t="shared" si="19"/>
        <v>0</v>
      </c>
      <c r="L632" s="334">
        <v>0</v>
      </c>
      <c r="M632" s="334"/>
      <c r="N632" s="334">
        <f t="shared" si="18"/>
        <v>0</v>
      </c>
      <c r="O632" s="334">
        <v>0</v>
      </c>
      <c r="P632" s="334"/>
    </row>
    <row r="633" spans="1:16">
      <c r="A633" s="177">
        <v>325</v>
      </c>
      <c r="B633" s="326">
        <v>200</v>
      </c>
      <c r="C633" s="326">
        <v>100</v>
      </c>
      <c r="D633" s="326">
        <v>200</v>
      </c>
      <c r="E633" s="326">
        <v>0</v>
      </c>
      <c r="F633" s="326">
        <v>0</v>
      </c>
      <c r="G633" s="347" t="s">
        <v>2878</v>
      </c>
      <c r="H633" s="330" t="s">
        <v>1143</v>
      </c>
      <c r="I633" s="326"/>
      <c r="J633" s="326"/>
      <c r="K633" s="334">
        <f t="shared" si="19"/>
        <v>0</v>
      </c>
      <c r="L633" s="334">
        <v>0</v>
      </c>
      <c r="M633" s="334"/>
      <c r="N633" s="334">
        <f t="shared" si="18"/>
        <v>0</v>
      </c>
      <c r="O633" s="334">
        <v>0</v>
      </c>
      <c r="P633" s="334"/>
    </row>
    <row r="634" spans="1:16">
      <c r="A634" s="177">
        <v>325</v>
      </c>
      <c r="B634" s="326">
        <v>200</v>
      </c>
      <c r="C634" s="326">
        <v>100</v>
      </c>
      <c r="D634" s="326">
        <v>300</v>
      </c>
      <c r="E634" s="326">
        <v>0</v>
      </c>
      <c r="F634" s="326">
        <v>0</v>
      </c>
      <c r="G634" s="347" t="s">
        <v>2879</v>
      </c>
      <c r="H634" s="330" t="s">
        <v>1144</v>
      </c>
      <c r="I634" s="326"/>
      <c r="J634" s="326"/>
      <c r="K634" s="334">
        <f t="shared" si="19"/>
        <v>0</v>
      </c>
      <c r="L634" s="334">
        <v>0</v>
      </c>
      <c r="M634" s="334"/>
      <c r="N634" s="334">
        <f t="shared" si="18"/>
        <v>0</v>
      </c>
      <c r="O634" s="334">
        <v>0</v>
      </c>
      <c r="P634" s="334"/>
    </row>
    <row r="635" spans="1:16">
      <c r="A635" s="177">
        <v>325</v>
      </c>
      <c r="B635" s="326">
        <v>200</v>
      </c>
      <c r="C635" s="326">
        <v>100</v>
      </c>
      <c r="D635" s="326">
        <v>301</v>
      </c>
      <c r="E635" s="326">
        <v>0</v>
      </c>
      <c r="F635" s="326">
        <v>0</v>
      </c>
      <c r="G635" s="347" t="s">
        <v>2298</v>
      </c>
      <c r="H635" s="330" t="s">
        <v>2263</v>
      </c>
      <c r="I635" s="326"/>
      <c r="J635" s="326"/>
      <c r="K635" s="334">
        <f t="shared" si="19"/>
        <v>0</v>
      </c>
      <c r="L635" s="334">
        <v>0</v>
      </c>
      <c r="M635" s="334"/>
      <c r="N635" s="334">
        <f t="shared" si="18"/>
        <v>0</v>
      </c>
      <c r="O635" s="334">
        <v>0</v>
      </c>
      <c r="P635" s="334"/>
    </row>
    <row r="636" spans="1:16">
      <c r="A636" s="177">
        <v>325</v>
      </c>
      <c r="B636" s="326">
        <v>200</v>
      </c>
      <c r="C636" s="326">
        <v>100</v>
      </c>
      <c r="D636" s="326">
        <v>302</v>
      </c>
      <c r="E636" s="326">
        <v>0</v>
      </c>
      <c r="F636" s="326">
        <v>0</v>
      </c>
      <c r="G636" s="347" t="s">
        <v>2299</v>
      </c>
      <c r="H636" s="330" t="s">
        <v>2265</v>
      </c>
      <c r="I636" s="326"/>
      <c r="J636" s="326"/>
      <c r="K636" s="334">
        <f t="shared" si="19"/>
        <v>0</v>
      </c>
      <c r="L636" s="334">
        <v>0</v>
      </c>
      <c r="M636" s="334"/>
      <c r="N636" s="334">
        <f t="shared" si="18"/>
        <v>0</v>
      </c>
      <c r="O636" s="334">
        <v>0</v>
      </c>
      <c r="P636" s="334"/>
    </row>
    <row r="637" spans="1:16">
      <c r="A637" s="177">
        <v>325</v>
      </c>
      <c r="B637" s="326">
        <v>200</v>
      </c>
      <c r="C637" s="326">
        <v>100</v>
      </c>
      <c r="D637" s="326">
        <v>400</v>
      </c>
      <c r="E637" s="326">
        <v>0</v>
      </c>
      <c r="F637" s="326">
        <v>0</v>
      </c>
      <c r="G637" s="347" t="s">
        <v>2880</v>
      </c>
      <c r="H637" s="330" t="s">
        <v>1145</v>
      </c>
      <c r="I637" s="326"/>
      <c r="J637" s="326"/>
      <c r="K637" s="334">
        <f t="shared" si="19"/>
        <v>0</v>
      </c>
      <c r="L637" s="334">
        <v>0</v>
      </c>
      <c r="M637" s="334"/>
      <c r="N637" s="334">
        <f t="shared" si="18"/>
        <v>0</v>
      </c>
      <c r="O637" s="334">
        <v>0</v>
      </c>
      <c r="P637" s="334"/>
    </row>
    <row r="638" spans="1:16">
      <c r="A638" s="177">
        <v>325</v>
      </c>
      <c r="B638" s="326">
        <v>200</v>
      </c>
      <c r="C638" s="326">
        <v>100</v>
      </c>
      <c r="D638" s="326">
        <v>500</v>
      </c>
      <c r="E638" s="326">
        <v>0</v>
      </c>
      <c r="F638" s="326">
        <v>0</v>
      </c>
      <c r="G638" s="347" t="s">
        <v>2881</v>
      </c>
      <c r="H638" s="330" t="s">
        <v>1132</v>
      </c>
      <c r="I638" s="326"/>
      <c r="J638" s="326"/>
      <c r="K638" s="334">
        <f t="shared" si="19"/>
        <v>0</v>
      </c>
      <c r="L638" s="334">
        <v>0</v>
      </c>
      <c r="M638" s="334"/>
      <c r="N638" s="334">
        <f t="shared" si="18"/>
        <v>0</v>
      </c>
      <c r="O638" s="334">
        <v>0</v>
      </c>
      <c r="P638" s="334"/>
    </row>
    <row r="639" spans="1:16">
      <c r="A639" s="177">
        <v>325</v>
      </c>
      <c r="B639" s="326">
        <v>200</v>
      </c>
      <c r="C639" s="326">
        <v>100</v>
      </c>
      <c r="D639" s="326">
        <v>600</v>
      </c>
      <c r="E639" s="326">
        <v>0</v>
      </c>
      <c r="F639" s="326">
        <v>0</v>
      </c>
      <c r="G639" s="348" t="s">
        <v>2882</v>
      </c>
      <c r="H639" s="331" t="s">
        <v>1115</v>
      </c>
      <c r="I639" s="326"/>
      <c r="J639" s="325"/>
      <c r="K639" s="335">
        <f t="shared" si="19"/>
        <v>0</v>
      </c>
      <c r="L639" s="335">
        <v>0</v>
      </c>
      <c r="M639" s="335"/>
      <c r="N639" s="335">
        <f t="shared" si="18"/>
        <v>0</v>
      </c>
      <c r="O639" s="335">
        <v>0</v>
      </c>
      <c r="P639" s="335"/>
    </row>
    <row r="640" spans="1:16">
      <c r="A640" s="177">
        <v>325</v>
      </c>
      <c r="B640" s="326">
        <v>200</v>
      </c>
      <c r="C640" s="326">
        <v>100</v>
      </c>
      <c r="D640" s="326">
        <v>600</v>
      </c>
      <c r="E640" s="326">
        <v>5</v>
      </c>
      <c r="F640" s="326">
        <v>0</v>
      </c>
      <c r="G640" s="347" t="s">
        <v>2883</v>
      </c>
      <c r="H640" s="330" t="s">
        <v>1116</v>
      </c>
      <c r="I640" s="326"/>
      <c r="J640" s="326"/>
      <c r="K640" s="334">
        <f t="shared" si="19"/>
        <v>0</v>
      </c>
      <c r="L640" s="334">
        <v>0</v>
      </c>
      <c r="M640" s="334"/>
      <c r="N640" s="334">
        <f t="shared" si="18"/>
        <v>0</v>
      </c>
      <c r="O640" s="334">
        <v>0</v>
      </c>
      <c r="P640" s="334"/>
    </row>
    <row r="641" spans="1:16">
      <c r="A641" s="177">
        <v>325</v>
      </c>
      <c r="B641" s="326">
        <v>200</v>
      </c>
      <c r="C641" s="326">
        <v>100</v>
      </c>
      <c r="D641" s="326">
        <v>600</v>
      </c>
      <c r="E641" s="326">
        <v>10</v>
      </c>
      <c r="F641" s="326">
        <v>0</v>
      </c>
      <c r="G641" s="347" t="s">
        <v>2884</v>
      </c>
      <c r="H641" s="330" t="s">
        <v>1117</v>
      </c>
      <c r="I641" s="326"/>
      <c r="J641" s="326"/>
      <c r="K641" s="334">
        <f t="shared" si="19"/>
        <v>0</v>
      </c>
      <c r="L641" s="334">
        <v>0</v>
      </c>
      <c r="M641" s="334"/>
      <c r="N641" s="334">
        <f t="shared" si="18"/>
        <v>0</v>
      </c>
      <c r="O641" s="334">
        <v>0</v>
      </c>
      <c r="P641" s="334"/>
    </row>
    <row r="642" spans="1:16">
      <c r="A642" s="177">
        <v>325</v>
      </c>
      <c r="B642" s="326">
        <v>200</v>
      </c>
      <c r="C642" s="326">
        <v>100</v>
      </c>
      <c r="D642" s="326">
        <v>600</v>
      </c>
      <c r="E642" s="326">
        <v>15</v>
      </c>
      <c r="F642" s="326">
        <v>0</v>
      </c>
      <c r="G642" s="347" t="s">
        <v>2885</v>
      </c>
      <c r="H642" s="330" t="s">
        <v>1146</v>
      </c>
      <c r="I642" s="326"/>
      <c r="J642" s="326"/>
      <c r="K642" s="334">
        <f t="shared" si="19"/>
        <v>0</v>
      </c>
      <c r="L642" s="334">
        <v>0</v>
      </c>
      <c r="M642" s="334"/>
      <c r="N642" s="334">
        <f t="shared" si="18"/>
        <v>0</v>
      </c>
      <c r="O642" s="334">
        <v>0</v>
      </c>
      <c r="P642" s="334"/>
    </row>
    <row r="643" spans="1:16">
      <c r="A643" s="177">
        <v>325</v>
      </c>
      <c r="B643" s="326">
        <v>200</v>
      </c>
      <c r="C643" s="326">
        <v>100</v>
      </c>
      <c r="D643" s="326">
        <v>900</v>
      </c>
      <c r="E643" s="326">
        <v>0</v>
      </c>
      <c r="F643" s="326">
        <v>0</v>
      </c>
      <c r="G643" s="347" t="s">
        <v>2886</v>
      </c>
      <c r="H643" s="330" t="s">
        <v>1135</v>
      </c>
      <c r="I643" s="326"/>
      <c r="J643" s="326"/>
      <c r="K643" s="334">
        <f t="shared" si="19"/>
        <v>0</v>
      </c>
      <c r="L643" s="334">
        <v>0</v>
      </c>
      <c r="M643" s="334"/>
      <c r="N643" s="334">
        <f t="shared" si="18"/>
        <v>0</v>
      </c>
      <c r="O643" s="334">
        <v>0</v>
      </c>
      <c r="P643" s="334"/>
    </row>
    <row r="644" spans="1:16" ht="25.5">
      <c r="A644" s="177">
        <v>325</v>
      </c>
      <c r="B644" s="326">
        <v>200</v>
      </c>
      <c r="C644" s="326">
        <v>200</v>
      </c>
      <c r="D644" s="326">
        <v>0</v>
      </c>
      <c r="E644" s="326">
        <v>0</v>
      </c>
      <c r="F644" s="326">
        <v>0</v>
      </c>
      <c r="G644" s="331" t="s">
        <v>2887</v>
      </c>
      <c r="H644" s="331" t="s">
        <v>1166</v>
      </c>
      <c r="I644" s="326" t="s">
        <v>1167</v>
      </c>
      <c r="J644" s="325"/>
      <c r="K644" s="335">
        <f t="shared" si="19"/>
        <v>0</v>
      </c>
      <c r="L644" s="335">
        <v>0</v>
      </c>
      <c r="M644" s="335"/>
      <c r="N644" s="335">
        <f t="shared" si="18"/>
        <v>0</v>
      </c>
      <c r="O644" s="335">
        <v>0</v>
      </c>
      <c r="P644" s="335"/>
    </row>
    <row r="645" spans="1:16">
      <c r="A645" s="177">
        <v>325</v>
      </c>
      <c r="B645" s="326">
        <v>200</v>
      </c>
      <c r="C645" s="326">
        <v>200</v>
      </c>
      <c r="D645" s="326">
        <v>100</v>
      </c>
      <c r="E645" s="326">
        <v>0</v>
      </c>
      <c r="F645" s="326">
        <v>0</v>
      </c>
      <c r="G645" s="347" t="s">
        <v>2888</v>
      </c>
      <c r="H645" s="330" t="s">
        <v>1107</v>
      </c>
      <c r="I645" s="326"/>
      <c r="J645" s="326"/>
      <c r="K645" s="334">
        <f t="shared" si="19"/>
        <v>0</v>
      </c>
      <c r="L645" s="334">
        <v>0</v>
      </c>
      <c r="M645" s="334"/>
      <c r="N645" s="334">
        <f t="shared" si="18"/>
        <v>0</v>
      </c>
      <c r="O645" s="334">
        <v>0</v>
      </c>
      <c r="P645" s="334"/>
    </row>
    <row r="646" spans="1:16">
      <c r="A646" s="177">
        <v>325</v>
      </c>
      <c r="B646" s="326">
        <v>200</v>
      </c>
      <c r="C646" s="326">
        <v>200</v>
      </c>
      <c r="D646" s="326">
        <v>200</v>
      </c>
      <c r="E646" s="326">
        <v>0</v>
      </c>
      <c r="F646" s="326">
        <v>0</v>
      </c>
      <c r="G646" s="347" t="s">
        <v>2889</v>
      </c>
      <c r="H646" s="330" t="s">
        <v>1143</v>
      </c>
      <c r="I646" s="326"/>
      <c r="J646" s="326"/>
      <c r="K646" s="334">
        <f t="shared" si="19"/>
        <v>0</v>
      </c>
      <c r="L646" s="334">
        <v>0</v>
      </c>
      <c r="M646" s="334"/>
      <c r="N646" s="334">
        <f t="shared" si="18"/>
        <v>0</v>
      </c>
      <c r="O646" s="334">
        <v>0</v>
      </c>
      <c r="P646" s="334"/>
    </row>
    <row r="647" spans="1:16">
      <c r="A647" s="177">
        <v>325</v>
      </c>
      <c r="B647" s="326">
        <v>200</v>
      </c>
      <c r="C647" s="326">
        <v>200</v>
      </c>
      <c r="D647" s="326">
        <v>300</v>
      </c>
      <c r="E647" s="326">
        <v>0</v>
      </c>
      <c r="F647" s="326">
        <v>0</v>
      </c>
      <c r="G647" s="347" t="s">
        <v>2890</v>
      </c>
      <c r="H647" s="330" t="s">
        <v>1144</v>
      </c>
      <c r="I647" s="326"/>
      <c r="J647" s="326"/>
      <c r="K647" s="334">
        <f t="shared" si="19"/>
        <v>0</v>
      </c>
      <c r="L647" s="334">
        <v>0</v>
      </c>
      <c r="M647" s="334"/>
      <c r="N647" s="334">
        <f t="shared" ref="N647:N710" si="20">+O647+P647</f>
        <v>0</v>
      </c>
      <c r="O647" s="334">
        <v>0</v>
      </c>
      <c r="P647" s="334"/>
    </row>
    <row r="648" spans="1:16">
      <c r="A648" s="177">
        <v>325</v>
      </c>
      <c r="B648" s="326">
        <v>200</v>
      </c>
      <c r="C648" s="326">
        <v>200</v>
      </c>
      <c r="D648" s="326">
        <v>301</v>
      </c>
      <c r="E648" s="326">
        <v>0</v>
      </c>
      <c r="F648" s="326">
        <v>0</v>
      </c>
      <c r="G648" s="347" t="s">
        <v>2300</v>
      </c>
      <c r="H648" s="330" t="s">
        <v>2263</v>
      </c>
      <c r="I648" s="326"/>
      <c r="J648" s="326"/>
      <c r="K648" s="334">
        <f t="shared" si="19"/>
        <v>0</v>
      </c>
      <c r="L648" s="334">
        <v>0</v>
      </c>
      <c r="M648" s="334"/>
      <c r="N648" s="334">
        <f t="shared" si="20"/>
        <v>0</v>
      </c>
      <c r="O648" s="334">
        <v>0</v>
      </c>
      <c r="P648" s="334"/>
    </row>
    <row r="649" spans="1:16">
      <c r="A649" s="177">
        <v>325</v>
      </c>
      <c r="B649" s="326">
        <v>200</v>
      </c>
      <c r="C649" s="326">
        <v>200</v>
      </c>
      <c r="D649" s="326">
        <v>302</v>
      </c>
      <c r="E649" s="326">
        <v>0</v>
      </c>
      <c r="F649" s="326">
        <v>0</v>
      </c>
      <c r="G649" s="347" t="s">
        <v>2301</v>
      </c>
      <c r="H649" s="330" t="s">
        <v>2265</v>
      </c>
      <c r="I649" s="326"/>
      <c r="J649" s="326"/>
      <c r="K649" s="334">
        <f t="shared" si="19"/>
        <v>0</v>
      </c>
      <c r="L649" s="334">
        <v>0</v>
      </c>
      <c r="M649" s="334"/>
      <c r="N649" s="334">
        <f t="shared" si="20"/>
        <v>0</v>
      </c>
      <c r="O649" s="334">
        <v>0</v>
      </c>
      <c r="P649" s="334"/>
    </row>
    <row r="650" spans="1:16">
      <c r="A650" s="177">
        <v>325</v>
      </c>
      <c r="B650" s="326">
        <v>200</v>
      </c>
      <c r="C650" s="326">
        <v>200</v>
      </c>
      <c r="D650" s="326">
        <v>400</v>
      </c>
      <c r="E650" s="326">
        <v>0</v>
      </c>
      <c r="F650" s="326">
        <v>0</v>
      </c>
      <c r="G650" s="347" t="s">
        <v>2891</v>
      </c>
      <c r="H650" s="330" t="s">
        <v>1145</v>
      </c>
      <c r="I650" s="326"/>
      <c r="J650" s="326"/>
      <c r="K650" s="334">
        <f t="shared" si="19"/>
        <v>0</v>
      </c>
      <c r="L650" s="334">
        <v>0</v>
      </c>
      <c r="M650" s="334"/>
      <c r="N650" s="334">
        <f t="shared" si="20"/>
        <v>0</v>
      </c>
      <c r="O650" s="334">
        <v>0</v>
      </c>
      <c r="P650" s="334"/>
    </row>
    <row r="651" spans="1:16">
      <c r="A651" s="177">
        <v>325</v>
      </c>
      <c r="B651" s="326">
        <v>200</v>
      </c>
      <c r="C651" s="326">
        <v>200</v>
      </c>
      <c r="D651" s="326">
        <v>500</v>
      </c>
      <c r="E651" s="326">
        <v>0</v>
      </c>
      <c r="F651" s="326">
        <v>0</v>
      </c>
      <c r="G651" s="347" t="s">
        <v>2892</v>
      </c>
      <c r="H651" s="330" t="s">
        <v>1132</v>
      </c>
      <c r="I651" s="326"/>
      <c r="J651" s="326"/>
      <c r="K651" s="334">
        <f t="shared" si="19"/>
        <v>0</v>
      </c>
      <c r="L651" s="334">
        <v>0</v>
      </c>
      <c r="M651" s="334"/>
      <c r="N651" s="334">
        <f t="shared" si="20"/>
        <v>0</v>
      </c>
      <c r="O651" s="334">
        <v>0</v>
      </c>
      <c r="P651" s="334"/>
    </row>
    <row r="652" spans="1:16">
      <c r="A652" s="177">
        <v>325</v>
      </c>
      <c r="B652" s="326">
        <v>200</v>
      </c>
      <c r="C652" s="326">
        <v>200</v>
      </c>
      <c r="D652" s="326">
        <v>600</v>
      </c>
      <c r="E652" s="326">
        <v>0</v>
      </c>
      <c r="F652" s="326">
        <v>0</v>
      </c>
      <c r="G652" s="348" t="s">
        <v>2893</v>
      </c>
      <c r="H652" s="331" t="s">
        <v>1115</v>
      </c>
      <c r="I652" s="326"/>
      <c r="J652" s="325"/>
      <c r="K652" s="335">
        <f t="shared" si="19"/>
        <v>0</v>
      </c>
      <c r="L652" s="335">
        <v>0</v>
      </c>
      <c r="M652" s="335"/>
      <c r="N652" s="335">
        <f t="shared" si="20"/>
        <v>0</v>
      </c>
      <c r="O652" s="335">
        <v>0</v>
      </c>
      <c r="P652" s="335"/>
    </row>
    <row r="653" spans="1:16">
      <c r="A653" s="177">
        <v>325</v>
      </c>
      <c r="B653" s="326">
        <v>200</v>
      </c>
      <c r="C653" s="326">
        <v>200</v>
      </c>
      <c r="D653" s="326">
        <v>600</v>
      </c>
      <c r="E653" s="326">
        <v>5</v>
      </c>
      <c r="F653" s="326">
        <v>0</v>
      </c>
      <c r="G653" s="347" t="s">
        <v>2894</v>
      </c>
      <c r="H653" s="330" t="s">
        <v>1116</v>
      </c>
      <c r="I653" s="326"/>
      <c r="J653" s="326"/>
      <c r="K653" s="334">
        <f t="shared" si="19"/>
        <v>0</v>
      </c>
      <c r="L653" s="334">
        <v>0</v>
      </c>
      <c r="M653" s="334"/>
      <c r="N653" s="334">
        <f t="shared" si="20"/>
        <v>0</v>
      </c>
      <c r="O653" s="334">
        <v>0</v>
      </c>
      <c r="P653" s="334"/>
    </row>
    <row r="654" spans="1:16">
      <c r="A654" s="177">
        <v>325</v>
      </c>
      <c r="B654" s="326">
        <v>200</v>
      </c>
      <c r="C654" s="326">
        <v>200</v>
      </c>
      <c r="D654" s="326">
        <v>600</v>
      </c>
      <c r="E654" s="326">
        <v>10</v>
      </c>
      <c r="F654" s="326">
        <v>0</v>
      </c>
      <c r="G654" s="347" t="s">
        <v>2895</v>
      </c>
      <c r="H654" s="330" t="s">
        <v>1117</v>
      </c>
      <c r="I654" s="326"/>
      <c r="J654" s="326"/>
      <c r="K654" s="334">
        <f t="shared" si="19"/>
        <v>0</v>
      </c>
      <c r="L654" s="334">
        <v>0</v>
      </c>
      <c r="M654" s="334"/>
      <c r="N654" s="334">
        <f t="shared" si="20"/>
        <v>0</v>
      </c>
      <c r="O654" s="334">
        <v>0</v>
      </c>
      <c r="P654" s="334"/>
    </row>
    <row r="655" spans="1:16">
      <c r="A655" s="177">
        <v>325</v>
      </c>
      <c r="B655" s="326">
        <v>200</v>
      </c>
      <c r="C655" s="326">
        <v>200</v>
      </c>
      <c r="D655" s="326">
        <v>600</v>
      </c>
      <c r="E655" s="326">
        <v>15</v>
      </c>
      <c r="F655" s="326">
        <v>0</v>
      </c>
      <c r="G655" s="347" t="s">
        <v>2896</v>
      </c>
      <c r="H655" s="330" t="s">
        <v>1146</v>
      </c>
      <c r="I655" s="326"/>
      <c r="J655" s="326"/>
      <c r="K655" s="334">
        <f t="shared" si="19"/>
        <v>0</v>
      </c>
      <c r="L655" s="334">
        <v>0</v>
      </c>
      <c r="M655" s="334"/>
      <c r="N655" s="334">
        <f t="shared" si="20"/>
        <v>0</v>
      </c>
      <c r="O655" s="334">
        <v>0</v>
      </c>
      <c r="P655" s="334"/>
    </row>
    <row r="656" spans="1:16">
      <c r="A656" s="177">
        <v>325</v>
      </c>
      <c r="B656" s="326">
        <v>200</v>
      </c>
      <c r="C656" s="326">
        <v>200</v>
      </c>
      <c r="D656" s="326">
        <v>900</v>
      </c>
      <c r="E656" s="326">
        <v>0</v>
      </c>
      <c r="F656" s="326">
        <v>0</v>
      </c>
      <c r="G656" s="347" t="s">
        <v>2897</v>
      </c>
      <c r="H656" s="330" t="s">
        <v>1135</v>
      </c>
      <c r="I656" s="326"/>
      <c r="J656" s="326"/>
      <c r="K656" s="334">
        <f t="shared" si="19"/>
        <v>0</v>
      </c>
      <c r="L656" s="334">
        <v>0</v>
      </c>
      <c r="M656" s="334"/>
      <c r="N656" s="334">
        <f t="shared" si="20"/>
        <v>0</v>
      </c>
      <c r="O656" s="334">
        <v>0</v>
      </c>
      <c r="P656" s="334"/>
    </row>
    <row r="657" spans="1:16">
      <c r="A657" s="177">
        <v>325</v>
      </c>
      <c r="B657" s="326">
        <v>200</v>
      </c>
      <c r="C657" s="326">
        <v>300</v>
      </c>
      <c r="D657" s="326">
        <v>0</v>
      </c>
      <c r="E657" s="326">
        <v>0</v>
      </c>
      <c r="F657" s="326">
        <v>0</v>
      </c>
      <c r="G657" s="331" t="s">
        <v>2898</v>
      </c>
      <c r="H657" s="331" t="s">
        <v>1168</v>
      </c>
      <c r="I657" s="326" t="s">
        <v>1169</v>
      </c>
      <c r="J657" s="326"/>
      <c r="K657" s="334">
        <f t="shared" si="19"/>
        <v>0</v>
      </c>
      <c r="L657" s="334">
        <v>0</v>
      </c>
      <c r="M657" s="334"/>
      <c r="N657" s="334">
        <f t="shared" si="20"/>
        <v>0</v>
      </c>
      <c r="O657" s="334">
        <v>0</v>
      </c>
      <c r="P657" s="334"/>
    </row>
    <row r="658" spans="1:16">
      <c r="A658" s="403">
        <v>330</v>
      </c>
      <c r="B658" s="404">
        <v>0</v>
      </c>
      <c r="C658" s="404">
        <v>0</v>
      </c>
      <c r="D658" s="404">
        <v>0</v>
      </c>
      <c r="E658" s="404">
        <v>0</v>
      </c>
      <c r="F658" s="404">
        <v>0</v>
      </c>
      <c r="G658" s="339">
        <v>330</v>
      </c>
      <c r="H658" s="339" t="s">
        <v>1170</v>
      </c>
      <c r="I658" s="55" t="s">
        <v>1171</v>
      </c>
      <c r="J658" s="55"/>
      <c r="K658" s="335">
        <f t="shared" si="19"/>
        <v>0</v>
      </c>
      <c r="L658" s="335">
        <v>0</v>
      </c>
      <c r="M658" s="335"/>
      <c r="N658" s="335">
        <f t="shared" si="20"/>
        <v>0</v>
      </c>
      <c r="O658" s="335">
        <v>0</v>
      </c>
      <c r="P658" s="335"/>
    </row>
    <row r="659" spans="1:16">
      <c r="A659" s="177">
        <v>330</v>
      </c>
      <c r="B659" s="326">
        <v>100</v>
      </c>
      <c r="C659" s="326">
        <v>0</v>
      </c>
      <c r="D659" s="326">
        <v>0</v>
      </c>
      <c r="E659" s="326">
        <v>0</v>
      </c>
      <c r="F659" s="326">
        <v>0</v>
      </c>
      <c r="G659" s="331" t="s">
        <v>2899</v>
      </c>
      <c r="H659" s="331" t="s">
        <v>1172</v>
      </c>
      <c r="I659" s="326" t="s">
        <v>1173</v>
      </c>
      <c r="J659" s="325"/>
      <c r="K659" s="335">
        <f t="shared" si="19"/>
        <v>0</v>
      </c>
      <c r="L659" s="335">
        <v>0</v>
      </c>
      <c r="M659" s="335"/>
      <c r="N659" s="335">
        <f t="shared" si="20"/>
        <v>0</v>
      </c>
      <c r="O659" s="335">
        <v>0</v>
      </c>
      <c r="P659" s="335"/>
    </row>
    <row r="660" spans="1:16" ht="25.5">
      <c r="A660" s="177">
        <v>330</v>
      </c>
      <c r="B660" s="326">
        <v>100</v>
      </c>
      <c r="C660" s="326">
        <v>100</v>
      </c>
      <c r="D660" s="326">
        <v>0</v>
      </c>
      <c r="E660" s="326">
        <v>0</v>
      </c>
      <c r="F660" s="326">
        <v>0</v>
      </c>
      <c r="G660" s="331" t="s">
        <v>2900</v>
      </c>
      <c r="H660" s="331" t="s">
        <v>1174</v>
      </c>
      <c r="I660" s="326" t="s">
        <v>1175</v>
      </c>
      <c r="J660" s="325"/>
      <c r="K660" s="335">
        <f t="shared" si="19"/>
        <v>0</v>
      </c>
      <c r="L660" s="335">
        <v>0</v>
      </c>
      <c r="M660" s="335"/>
      <c r="N660" s="335">
        <f t="shared" si="20"/>
        <v>0</v>
      </c>
      <c r="O660" s="335">
        <v>0</v>
      </c>
      <c r="P660" s="335"/>
    </row>
    <row r="661" spans="1:16">
      <c r="A661" s="177">
        <v>330</v>
      </c>
      <c r="B661" s="326">
        <v>100</v>
      </c>
      <c r="C661" s="326">
        <v>100</v>
      </c>
      <c r="D661" s="326">
        <v>100</v>
      </c>
      <c r="E661" s="326">
        <v>0</v>
      </c>
      <c r="F661" s="326">
        <v>0</v>
      </c>
      <c r="G661" s="347" t="s">
        <v>2901</v>
      </c>
      <c r="H661" s="330" t="s">
        <v>1107</v>
      </c>
      <c r="I661" s="326"/>
      <c r="J661" s="326"/>
      <c r="K661" s="334">
        <f t="shared" si="19"/>
        <v>143613.31</v>
      </c>
      <c r="L661" s="334">
        <v>143613.31</v>
      </c>
      <c r="M661" s="334"/>
      <c r="N661" s="334">
        <f t="shared" si="20"/>
        <v>143003.73000000001</v>
      </c>
      <c r="O661" s="334">
        <v>143003.73000000001</v>
      </c>
      <c r="P661" s="334"/>
    </row>
    <row r="662" spans="1:16">
      <c r="A662" s="177">
        <v>330</v>
      </c>
      <c r="B662" s="326">
        <v>100</v>
      </c>
      <c r="C662" s="326">
        <v>100</v>
      </c>
      <c r="D662" s="326">
        <v>200</v>
      </c>
      <c r="E662" s="326">
        <v>0</v>
      </c>
      <c r="F662" s="326">
        <v>0</v>
      </c>
      <c r="G662" s="347" t="s">
        <v>2902</v>
      </c>
      <c r="H662" s="330" t="s">
        <v>1108</v>
      </c>
      <c r="I662" s="326"/>
      <c r="J662" s="326"/>
      <c r="K662" s="334">
        <f t="shared" si="19"/>
        <v>32449.66</v>
      </c>
      <c r="L662" s="334">
        <v>32449.66</v>
      </c>
      <c r="M662" s="334"/>
      <c r="N662" s="334">
        <f t="shared" si="20"/>
        <v>44693.64</v>
      </c>
      <c r="O662" s="334">
        <v>44693.64</v>
      </c>
      <c r="P662" s="334"/>
    </row>
    <row r="663" spans="1:16">
      <c r="A663" s="177">
        <v>330</v>
      </c>
      <c r="B663" s="326">
        <v>100</v>
      </c>
      <c r="C663" s="326">
        <v>100</v>
      </c>
      <c r="D663" s="326">
        <v>300</v>
      </c>
      <c r="E663" s="326">
        <v>0</v>
      </c>
      <c r="F663" s="326">
        <v>0</v>
      </c>
      <c r="G663" s="347" t="s">
        <v>2903</v>
      </c>
      <c r="H663" s="330" t="s">
        <v>1131</v>
      </c>
      <c r="I663" s="326"/>
      <c r="J663" s="326"/>
      <c r="K663" s="334">
        <f t="shared" si="19"/>
        <v>13504.44</v>
      </c>
      <c r="L663" s="334">
        <v>13504.44</v>
      </c>
      <c r="M663" s="334"/>
      <c r="N663" s="334">
        <f t="shared" si="20"/>
        <v>21408.880000000001</v>
      </c>
      <c r="O663" s="334">
        <v>21408.880000000001</v>
      </c>
      <c r="P663" s="334"/>
    </row>
    <row r="664" spans="1:16">
      <c r="A664" s="177">
        <v>330</v>
      </c>
      <c r="B664" s="326">
        <v>100</v>
      </c>
      <c r="C664" s="326">
        <v>100</v>
      </c>
      <c r="D664" s="326">
        <v>400</v>
      </c>
      <c r="E664" s="326">
        <v>0</v>
      </c>
      <c r="F664" s="326">
        <v>0</v>
      </c>
      <c r="G664" s="347" t="s">
        <v>2904</v>
      </c>
      <c r="H664" s="330" t="s">
        <v>1132</v>
      </c>
      <c r="I664" s="326"/>
      <c r="J664" s="326"/>
      <c r="K664" s="334">
        <f t="shared" si="19"/>
        <v>904.71</v>
      </c>
      <c r="L664" s="334">
        <v>904.71</v>
      </c>
      <c r="M664" s="334"/>
      <c r="N664" s="334">
        <f t="shared" si="20"/>
        <v>649.16</v>
      </c>
      <c r="O664" s="334">
        <v>649.16</v>
      </c>
      <c r="P664" s="334"/>
    </row>
    <row r="665" spans="1:16">
      <c r="A665" s="177">
        <v>330</v>
      </c>
      <c r="B665" s="326">
        <v>100</v>
      </c>
      <c r="C665" s="326">
        <v>100</v>
      </c>
      <c r="D665" s="326">
        <v>500</v>
      </c>
      <c r="E665" s="326">
        <v>0</v>
      </c>
      <c r="F665" s="326">
        <v>0</v>
      </c>
      <c r="G665" s="348" t="s">
        <v>2905</v>
      </c>
      <c r="H665" s="331" t="s">
        <v>1115</v>
      </c>
      <c r="I665" s="326"/>
      <c r="J665" s="325"/>
      <c r="K665" s="335">
        <f t="shared" si="19"/>
        <v>0</v>
      </c>
      <c r="L665" s="335">
        <v>0</v>
      </c>
      <c r="M665" s="335"/>
      <c r="N665" s="335">
        <f t="shared" si="20"/>
        <v>0</v>
      </c>
      <c r="O665" s="335">
        <v>0</v>
      </c>
      <c r="P665" s="335"/>
    </row>
    <row r="666" spans="1:16">
      <c r="A666" s="177">
        <v>330</v>
      </c>
      <c r="B666" s="326">
        <v>100</v>
      </c>
      <c r="C666" s="326">
        <v>100</v>
      </c>
      <c r="D666" s="326">
        <v>500</v>
      </c>
      <c r="E666" s="326">
        <v>5</v>
      </c>
      <c r="F666" s="326">
        <v>0</v>
      </c>
      <c r="G666" s="347" t="s">
        <v>2906</v>
      </c>
      <c r="H666" s="330" t="s">
        <v>1116</v>
      </c>
      <c r="I666" s="326"/>
      <c r="J666" s="326"/>
      <c r="K666" s="334">
        <f t="shared" si="19"/>
        <v>0</v>
      </c>
      <c r="L666" s="334">
        <v>0</v>
      </c>
      <c r="M666" s="334"/>
      <c r="N666" s="334">
        <f t="shared" si="20"/>
        <v>0</v>
      </c>
      <c r="O666" s="334">
        <v>0</v>
      </c>
      <c r="P666" s="334"/>
    </row>
    <row r="667" spans="1:16">
      <c r="A667" s="177">
        <v>330</v>
      </c>
      <c r="B667" s="326">
        <v>100</v>
      </c>
      <c r="C667" s="326">
        <v>100</v>
      </c>
      <c r="D667" s="326">
        <v>500</v>
      </c>
      <c r="E667" s="326">
        <v>10</v>
      </c>
      <c r="F667" s="326">
        <v>0</v>
      </c>
      <c r="G667" s="347" t="s">
        <v>2907</v>
      </c>
      <c r="H667" s="330" t="s">
        <v>1117</v>
      </c>
      <c r="I667" s="326"/>
      <c r="J667" s="326"/>
      <c r="K667" s="334">
        <f t="shared" si="19"/>
        <v>0</v>
      </c>
      <c r="L667" s="334">
        <v>0</v>
      </c>
      <c r="M667" s="334"/>
      <c r="N667" s="334">
        <f t="shared" si="20"/>
        <v>0</v>
      </c>
      <c r="O667" s="334">
        <v>0</v>
      </c>
      <c r="P667" s="334"/>
    </row>
    <row r="668" spans="1:16">
      <c r="A668" s="177">
        <v>330</v>
      </c>
      <c r="B668" s="326">
        <v>100</v>
      </c>
      <c r="C668" s="326">
        <v>100</v>
      </c>
      <c r="D668" s="326">
        <v>500</v>
      </c>
      <c r="E668" s="326">
        <v>15</v>
      </c>
      <c r="F668" s="326">
        <v>0</v>
      </c>
      <c r="G668" s="347" t="s">
        <v>2908</v>
      </c>
      <c r="H668" s="330" t="s">
        <v>1176</v>
      </c>
      <c r="I668" s="326"/>
      <c r="J668" s="326"/>
      <c r="K668" s="334">
        <f t="shared" si="19"/>
        <v>0</v>
      </c>
      <c r="L668" s="334">
        <v>0</v>
      </c>
      <c r="M668" s="334"/>
      <c r="N668" s="334">
        <f t="shared" si="20"/>
        <v>0</v>
      </c>
      <c r="O668" s="334">
        <v>0</v>
      </c>
      <c r="P668" s="334"/>
    </row>
    <row r="669" spans="1:16">
      <c r="A669" s="177">
        <v>330</v>
      </c>
      <c r="B669" s="326">
        <v>100</v>
      </c>
      <c r="C669" s="326">
        <v>100</v>
      </c>
      <c r="D669" s="326">
        <v>900</v>
      </c>
      <c r="E669" s="326">
        <v>0</v>
      </c>
      <c r="F669" s="326">
        <v>0</v>
      </c>
      <c r="G669" s="347" t="s">
        <v>2909</v>
      </c>
      <c r="H669" s="330" t="s">
        <v>1135</v>
      </c>
      <c r="I669" s="326"/>
      <c r="J669" s="326"/>
      <c r="K669" s="334">
        <f t="shared" si="19"/>
        <v>56299.68</v>
      </c>
      <c r="L669" s="334">
        <v>56299.68</v>
      </c>
      <c r="M669" s="334"/>
      <c r="N669" s="334">
        <f t="shared" si="20"/>
        <v>61688.32</v>
      </c>
      <c r="O669" s="334">
        <v>61688.32</v>
      </c>
      <c r="P669" s="334"/>
    </row>
    <row r="670" spans="1:16" ht="25.5">
      <c r="A670" s="177">
        <v>330</v>
      </c>
      <c r="B670" s="326">
        <v>100</v>
      </c>
      <c r="C670" s="326">
        <v>101</v>
      </c>
      <c r="D670" s="326">
        <v>0</v>
      </c>
      <c r="E670" s="326">
        <v>0</v>
      </c>
      <c r="F670" s="326">
        <v>0</v>
      </c>
      <c r="G670" s="331" t="s">
        <v>3496</v>
      </c>
      <c r="H670" s="331" t="s">
        <v>3491</v>
      </c>
      <c r="I670" s="326" t="s">
        <v>1175</v>
      </c>
      <c r="J670" s="325"/>
      <c r="K670" s="335"/>
      <c r="L670" s="335"/>
      <c r="M670" s="335"/>
      <c r="N670" s="335">
        <f t="shared" si="20"/>
        <v>0</v>
      </c>
      <c r="O670" s="335"/>
      <c r="P670" s="335"/>
    </row>
    <row r="671" spans="1:16">
      <c r="A671" s="326">
        <v>330</v>
      </c>
      <c r="B671" s="326">
        <v>100</v>
      </c>
      <c r="C671" s="326">
        <v>101</v>
      </c>
      <c r="D671" s="326">
        <v>100</v>
      </c>
      <c r="E671" s="326">
        <v>0</v>
      </c>
      <c r="F671" s="326">
        <v>0</v>
      </c>
      <c r="G671" s="408" t="s">
        <v>3497</v>
      </c>
      <c r="H671" s="347" t="s">
        <v>1107</v>
      </c>
      <c r="I671" s="326"/>
      <c r="J671" s="325"/>
      <c r="K671" s="336"/>
      <c r="L671" s="336"/>
      <c r="M671" s="336"/>
      <c r="N671" s="336">
        <f t="shared" si="20"/>
        <v>0</v>
      </c>
      <c r="O671" s="336"/>
      <c r="P671" s="336"/>
    </row>
    <row r="672" spans="1:16">
      <c r="A672" s="326">
        <v>330</v>
      </c>
      <c r="B672" s="326">
        <v>100</v>
      </c>
      <c r="C672" s="326">
        <v>101</v>
      </c>
      <c r="D672" s="326">
        <v>200</v>
      </c>
      <c r="E672" s="326">
        <v>0</v>
      </c>
      <c r="F672" s="326">
        <v>0</v>
      </c>
      <c r="G672" s="408" t="s">
        <v>3498</v>
      </c>
      <c r="H672" s="347" t="s">
        <v>1108</v>
      </c>
      <c r="I672" s="326"/>
      <c r="J672" s="325"/>
      <c r="K672" s="336"/>
      <c r="L672" s="336"/>
      <c r="M672" s="336"/>
      <c r="N672" s="336">
        <f t="shared" si="20"/>
        <v>0</v>
      </c>
      <c r="O672" s="336"/>
      <c r="P672" s="336"/>
    </row>
    <row r="673" spans="1:16">
      <c r="A673" s="326">
        <v>330</v>
      </c>
      <c r="B673" s="326">
        <v>100</v>
      </c>
      <c r="C673" s="326">
        <v>101</v>
      </c>
      <c r="D673" s="326">
        <v>300</v>
      </c>
      <c r="E673" s="326">
        <v>0</v>
      </c>
      <c r="F673" s="326">
        <v>0</v>
      </c>
      <c r="G673" s="408" t="s">
        <v>3499</v>
      </c>
      <c r="H673" s="347" t="s">
        <v>1131</v>
      </c>
      <c r="I673" s="326"/>
      <c r="J673" s="325"/>
      <c r="K673" s="336"/>
      <c r="L673" s="336"/>
      <c r="M673" s="336"/>
      <c r="N673" s="336">
        <f t="shared" si="20"/>
        <v>0</v>
      </c>
      <c r="O673" s="336"/>
      <c r="P673" s="336"/>
    </row>
    <row r="674" spans="1:16">
      <c r="A674" s="326">
        <v>330</v>
      </c>
      <c r="B674" s="326">
        <v>100</v>
      </c>
      <c r="C674" s="326">
        <v>101</v>
      </c>
      <c r="D674" s="326">
        <v>400</v>
      </c>
      <c r="E674" s="326">
        <v>0</v>
      </c>
      <c r="F674" s="326">
        <v>0</v>
      </c>
      <c r="G674" s="408" t="s">
        <v>3500</v>
      </c>
      <c r="H674" s="347" t="s">
        <v>1132</v>
      </c>
      <c r="I674" s="326"/>
      <c r="J674" s="325"/>
      <c r="K674" s="336"/>
      <c r="L674" s="336"/>
      <c r="M674" s="336"/>
      <c r="N674" s="336">
        <f t="shared" si="20"/>
        <v>0</v>
      </c>
      <c r="O674" s="336"/>
      <c r="P674" s="336"/>
    </row>
    <row r="675" spans="1:16">
      <c r="A675" s="177">
        <v>330</v>
      </c>
      <c r="B675" s="326">
        <v>100</v>
      </c>
      <c r="C675" s="326">
        <v>101</v>
      </c>
      <c r="D675" s="326">
        <v>500</v>
      </c>
      <c r="E675" s="326">
        <v>0</v>
      </c>
      <c r="F675" s="326">
        <v>0</v>
      </c>
      <c r="G675" s="348" t="s">
        <v>3501</v>
      </c>
      <c r="H675" s="331" t="s">
        <v>1115</v>
      </c>
      <c r="I675" s="326"/>
      <c r="J675" s="325"/>
      <c r="K675" s="335"/>
      <c r="L675" s="335"/>
      <c r="M675" s="335"/>
      <c r="N675" s="335">
        <f t="shared" si="20"/>
        <v>0</v>
      </c>
      <c r="O675" s="335"/>
      <c r="P675" s="335"/>
    </row>
    <row r="676" spans="1:16">
      <c r="A676" s="326">
        <v>330</v>
      </c>
      <c r="B676" s="326">
        <v>100</v>
      </c>
      <c r="C676" s="326">
        <v>101</v>
      </c>
      <c r="D676" s="326">
        <v>500</v>
      </c>
      <c r="E676" s="326">
        <v>5</v>
      </c>
      <c r="F676" s="326">
        <v>0</v>
      </c>
      <c r="G676" s="408" t="s">
        <v>3502</v>
      </c>
      <c r="H676" s="347" t="s">
        <v>1116</v>
      </c>
      <c r="I676" s="326"/>
      <c r="J676" s="325"/>
      <c r="K676" s="336"/>
      <c r="L676" s="336"/>
      <c r="M676" s="336"/>
      <c r="N676" s="336">
        <f t="shared" si="20"/>
        <v>0</v>
      </c>
      <c r="O676" s="336"/>
      <c r="P676" s="336"/>
    </row>
    <row r="677" spans="1:16">
      <c r="A677" s="326">
        <v>330</v>
      </c>
      <c r="B677" s="326">
        <v>100</v>
      </c>
      <c r="C677" s="326">
        <v>101</v>
      </c>
      <c r="D677" s="326">
        <v>500</v>
      </c>
      <c r="E677" s="326">
        <v>10</v>
      </c>
      <c r="F677" s="326">
        <v>0</v>
      </c>
      <c r="G677" s="408" t="s">
        <v>3503</v>
      </c>
      <c r="H677" s="347" t="s">
        <v>1117</v>
      </c>
      <c r="I677" s="326"/>
      <c r="J677" s="325"/>
      <c r="K677" s="336"/>
      <c r="L677" s="336"/>
      <c r="M677" s="336"/>
      <c r="N677" s="336">
        <f t="shared" si="20"/>
        <v>0</v>
      </c>
      <c r="O677" s="336"/>
      <c r="P677" s="336"/>
    </row>
    <row r="678" spans="1:16">
      <c r="A678" s="326">
        <v>330</v>
      </c>
      <c r="B678" s="326">
        <v>100</v>
      </c>
      <c r="C678" s="326">
        <v>101</v>
      </c>
      <c r="D678" s="326">
        <v>500</v>
      </c>
      <c r="E678" s="326">
        <v>15</v>
      </c>
      <c r="F678" s="326">
        <v>0</v>
      </c>
      <c r="G678" s="408" t="s">
        <v>3504</v>
      </c>
      <c r="H678" s="347" t="s">
        <v>3492</v>
      </c>
      <c r="I678" s="326"/>
      <c r="J678" s="325"/>
      <c r="K678" s="336"/>
      <c r="L678" s="336"/>
      <c r="M678" s="336"/>
      <c r="N678" s="336">
        <f t="shared" si="20"/>
        <v>0</v>
      </c>
      <c r="O678" s="336"/>
      <c r="P678" s="336"/>
    </row>
    <row r="679" spans="1:16">
      <c r="A679" s="326">
        <v>330</v>
      </c>
      <c r="B679" s="326">
        <v>100</v>
      </c>
      <c r="C679" s="326">
        <v>101</v>
      </c>
      <c r="D679" s="326">
        <v>900</v>
      </c>
      <c r="E679" s="326">
        <v>0</v>
      </c>
      <c r="F679" s="326">
        <v>0</v>
      </c>
      <c r="G679" s="408" t="s">
        <v>3505</v>
      </c>
      <c r="H679" s="347" t="s">
        <v>1135</v>
      </c>
      <c r="I679" s="326"/>
      <c r="J679" s="325"/>
      <c r="K679" s="336"/>
      <c r="L679" s="336"/>
      <c r="M679" s="336"/>
      <c r="N679" s="336">
        <f t="shared" si="20"/>
        <v>0</v>
      </c>
      <c r="O679" s="336"/>
      <c r="P679" s="336"/>
    </row>
    <row r="680" spans="1:16" ht="25.5">
      <c r="A680" s="177">
        <v>330</v>
      </c>
      <c r="B680" s="326">
        <v>100</v>
      </c>
      <c r="C680" s="326">
        <v>200</v>
      </c>
      <c r="D680" s="326">
        <v>0</v>
      </c>
      <c r="E680" s="326">
        <v>0</v>
      </c>
      <c r="F680" s="326">
        <v>0</v>
      </c>
      <c r="G680" s="331" t="s">
        <v>2910</v>
      </c>
      <c r="H680" s="331" t="s">
        <v>1177</v>
      </c>
      <c r="I680" s="326" t="s">
        <v>1178</v>
      </c>
      <c r="J680" s="325"/>
      <c r="K680" s="335">
        <f t="shared" si="19"/>
        <v>0</v>
      </c>
      <c r="L680" s="335">
        <v>0</v>
      </c>
      <c r="M680" s="335"/>
      <c r="N680" s="335">
        <f t="shared" si="20"/>
        <v>0</v>
      </c>
      <c r="O680" s="335">
        <v>0</v>
      </c>
      <c r="P680" s="335"/>
    </row>
    <row r="681" spans="1:16">
      <c r="A681" s="177">
        <v>330</v>
      </c>
      <c r="B681" s="326">
        <v>100</v>
      </c>
      <c r="C681" s="326">
        <v>200</v>
      </c>
      <c r="D681" s="326">
        <v>100</v>
      </c>
      <c r="E681" s="326">
        <v>0</v>
      </c>
      <c r="F681" s="326">
        <v>0</v>
      </c>
      <c r="G681" s="347" t="s">
        <v>2911</v>
      </c>
      <c r="H681" s="330" t="s">
        <v>1107</v>
      </c>
      <c r="I681" s="326"/>
      <c r="J681" s="326"/>
      <c r="K681" s="334">
        <f t="shared" si="19"/>
        <v>59094.77</v>
      </c>
      <c r="L681" s="334">
        <v>59094.77</v>
      </c>
      <c r="M681" s="334"/>
      <c r="N681" s="334">
        <f t="shared" si="20"/>
        <v>47667.91</v>
      </c>
      <c r="O681" s="334">
        <v>47667.91</v>
      </c>
      <c r="P681" s="334"/>
    </row>
    <row r="682" spans="1:16">
      <c r="A682" s="177">
        <v>330</v>
      </c>
      <c r="B682" s="326">
        <v>100</v>
      </c>
      <c r="C682" s="326">
        <v>200</v>
      </c>
      <c r="D682" s="326">
        <v>200</v>
      </c>
      <c r="E682" s="326">
        <v>0</v>
      </c>
      <c r="F682" s="326">
        <v>0</v>
      </c>
      <c r="G682" s="347" t="s">
        <v>2912</v>
      </c>
      <c r="H682" s="330" t="s">
        <v>1108</v>
      </c>
      <c r="I682" s="326"/>
      <c r="J682" s="326"/>
      <c r="K682" s="334">
        <f t="shared" si="19"/>
        <v>14609.16</v>
      </c>
      <c r="L682" s="334">
        <v>14609.16</v>
      </c>
      <c r="M682" s="334"/>
      <c r="N682" s="334">
        <f t="shared" si="20"/>
        <v>6544.23</v>
      </c>
      <c r="O682" s="334">
        <v>6544.23</v>
      </c>
      <c r="P682" s="334"/>
    </row>
    <row r="683" spans="1:16">
      <c r="A683" s="177">
        <v>330</v>
      </c>
      <c r="B683" s="326">
        <v>100</v>
      </c>
      <c r="C683" s="326">
        <v>200</v>
      </c>
      <c r="D683" s="326">
        <v>300</v>
      </c>
      <c r="E683" s="326">
        <v>0</v>
      </c>
      <c r="F683" s="326">
        <v>0</v>
      </c>
      <c r="G683" s="347" t="s">
        <v>2913</v>
      </c>
      <c r="H683" s="330" t="s">
        <v>1131</v>
      </c>
      <c r="I683" s="326"/>
      <c r="J683" s="326"/>
      <c r="K683" s="334">
        <f t="shared" ref="K683:K758" si="21">+L683+M683</f>
        <v>5787.62</v>
      </c>
      <c r="L683" s="334">
        <v>5787.62</v>
      </c>
      <c r="M683" s="334"/>
      <c r="N683" s="334">
        <f t="shared" si="20"/>
        <v>0</v>
      </c>
      <c r="O683" s="334">
        <v>0</v>
      </c>
      <c r="P683" s="334"/>
    </row>
    <row r="684" spans="1:16">
      <c r="A684" s="177">
        <v>330</v>
      </c>
      <c r="B684" s="326">
        <v>100</v>
      </c>
      <c r="C684" s="326">
        <v>200</v>
      </c>
      <c r="D684" s="326">
        <v>400</v>
      </c>
      <c r="E684" s="326">
        <v>0</v>
      </c>
      <c r="F684" s="326">
        <v>0</v>
      </c>
      <c r="G684" s="347" t="s">
        <v>2914</v>
      </c>
      <c r="H684" s="330" t="s">
        <v>1132</v>
      </c>
      <c r="I684" s="326"/>
      <c r="J684" s="326"/>
      <c r="K684" s="334">
        <f t="shared" si="21"/>
        <v>166.42</v>
      </c>
      <c r="L684" s="334">
        <v>166.42</v>
      </c>
      <c r="M684" s="334"/>
      <c r="N684" s="334">
        <f t="shared" si="20"/>
        <v>0</v>
      </c>
      <c r="O684" s="334">
        <v>0</v>
      </c>
      <c r="P684" s="334"/>
    </row>
    <row r="685" spans="1:16">
      <c r="A685" s="177">
        <v>330</v>
      </c>
      <c r="B685" s="326">
        <v>100</v>
      </c>
      <c r="C685" s="326">
        <v>200</v>
      </c>
      <c r="D685" s="326">
        <v>500</v>
      </c>
      <c r="E685" s="326">
        <v>0</v>
      </c>
      <c r="F685" s="326">
        <v>0</v>
      </c>
      <c r="G685" s="348" t="s">
        <v>2915</v>
      </c>
      <c r="H685" s="331" t="s">
        <v>1115</v>
      </c>
      <c r="I685" s="326"/>
      <c r="J685" s="325"/>
      <c r="K685" s="335">
        <f t="shared" si="21"/>
        <v>0</v>
      </c>
      <c r="L685" s="335">
        <v>0</v>
      </c>
      <c r="M685" s="335"/>
      <c r="N685" s="335">
        <f t="shared" si="20"/>
        <v>0</v>
      </c>
      <c r="O685" s="335">
        <v>0</v>
      </c>
      <c r="P685" s="335"/>
    </row>
    <row r="686" spans="1:16">
      <c r="A686" s="177">
        <v>330</v>
      </c>
      <c r="B686" s="326">
        <v>100</v>
      </c>
      <c r="C686" s="326">
        <v>200</v>
      </c>
      <c r="D686" s="326">
        <v>500</v>
      </c>
      <c r="E686" s="326">
        <v>5</v>
      </c>
      <c r="F686" s="326">
        <v>0</v>
      </c>
      <c r="G686" s="347" t="s">
        <v>2916</v>
      </c>
      <c r="H686" s="330" t="s">
        <v>1116</v>
      </c>
      <c r="I686" s="326"/>
      <c r="J686" s="326"/>
      <c r="K686" s="334">
        <f t="shared" si="21"/>
        <v>0</v>
      </c>
      <c r="L686" s="334">
        <v>0</v>
      </c>
      <c r="M686" s="334"/>
      <c r="N686" s="334">
        <f t="shared" si="20"/>
        <v>0</v>
      </c>
      <c r="O686" s="334">
        <v>0</v>
      </c>
      <c r="P686" s="334"/>
    </row>
    <row r="687" spans="1:16">
      <c r="A687" s="177">
        <v>330</v>
      </c>
      <c r="B687" s="326">
        <v>100</v>
      </c>
      <c r="C687" s="326">
        <v>200</v>
      </c>
      <c r="D687" s="326">
        <v>500</v>
      </c>
      <c r="E687" s="326">
        <v>10</v>
      </c>
      <c r="F687" s="326">
        <v>0</v>
      </c>
      <c r="G687" s="347" t="s">
        <v>2917</v>
      </c>
      <c r="H687" s="330" t="s">
        <v>1117</v>
      </c>
      <c r="I687" s="326"/>
      <c r="J687" s="326"/>
      <c r="K687" s="334">
        <f t="shared" si="21"/>
        <v>0</v>
      </c>
      <c r="L687" s="334">
        <v>0</v>
      </c>
      <c r="M687" s="334"/>
      <c r="N687" s="334">
        <f t="shared" si="20"/>
        <v>0</v>
      </c>
      <c r="O687" s="334">
        <v>0</v>
      </c>
      <c r="P687" s="334"/>
    </row>
    <row r="688" spans="1:16">
      <c r="A688" s="177">
        <v>330</v>
      </c>
      <c r="B688" s="326">
        <v>100</v>
      </c>
      <c r="C688" s="326">
        <v>200</v>
      </c>
      <c r="D688" s="326">
        <v>500</v>
      </c>
      <c r="E688" s="326">
        <v>15</v>
      </c>
      <c r="F688" s="326">
        <v>0</v>
      </c>
      <c r="G688" s="347" t="s">
        <v>2918</v>
      </c>
      <c r="H688" s="330" t="s">
        <v>1176</v>
      </c>
      <c r="I688" s="326"/>
      <c r="J688" s="326"/>
      <c r="K688" s="334">
        <f t="shared" si="21"/>
        <v>0</v>
      </c>
      <c r="L688" s="334">
        <v>0</v>
      </c>
      <c r="M688" s="334"/>
      <c r="N688" s="334">
        <f t="shared" si="20"/>
        <v>20.45</v>
      </c>
      <c r="O688" s="334">
        <v>20.45</v>
      </c>
      <c r="P688" s="334"/>
    </row>
    <row r="689" spans="1:16">
      <c r="A689" s="177">
        <v>330</v>
      </c>
      <c r="B689" s="326">
        <v>100</v>
      </c>
      <c r="C689" s="326">
        <v>200</v>
      </c>
      <c r="D689" s="326">
        <v>900</v>
      </c>
      <c r="E689" s="326">
        <v>0</v>
      </c>
      <c r="F689" s="326">
        <v>0</v>
      </c>
      <c r="G689" s="347" t="s">
        <v>2919</v>
      </c>
      <c r="H689" s="330" t="s">
        <v>1135</v>
      </c>
      <c r="I689" s="326"/>
      <c r="J689" s="326"/>
      <c r="K689" s="334">
        <f t="shared" si="21"/>
        <v>23203.91</v>
      </c>
      <c r="L689" s="334">
        <v>23203.91</v>
      </c>
      <c r="M689" s="334"/>
      <c r="N689" s="334">
        <f t="shared" si="20"/>
        <v>15948.37</v>
      </c>
      <c r="O689" s="334">
        <v>15948.37</v>
      </c>
      <c r="P689" s="334"/>
    </row>
    <row r="690" spans="1:16" ht="25.5">
      <c r="A690" s="177">
        <v>330</v>
      </c>
      <c r="B690" s="326">
        <v>100</v>
      </c>
      <c r="C690" s="326">
        <v>201</v>
      </c>
      <c r="D690" s="326">
        <v>0</v>
      </c>
      <c r="E690" s="326">
        <v>0</v>
      </c>
      <c r="F690" s="326">
        <v>0</v>
      </c>
      <c r="G690" s="331" t="s">
        <v>3506</v>
      </c>
      <c r="H690" s="331" t="s">
        <v>3493</v>
      </c>
      <c r="I690" s="326" t="s">
        <v>1178</v>
      </c>
      <c r="J690" s="325"/>
      <c r="K690" s="335"/>
      <c r="L690" s="335"/>
      <c r="M690" s="335"/>
      <c r="N690" s="335">
        <f t="shared" si="20"/>
        <v>0</v>
      </c>
      <c r="O690" s="335">
        <v>0</v>
      </c>
      <c r="P690" s="335"/>
    </row>
    <row r="691" spans="1:16">
      <c r="A691" s="177">
        <v>330</v>
      </c>
      <c r="B691" s="326">
        <v>100</v>
      </c>
      <c r="C691" s="326">
        <v>201</v>
      </c>
      <c r="D691" s="326">
        <v>100</v>
      </c>
      <c r="E691" s="326">
        <v>0</v>
      </c>
      <c r="F691" s="326">
        <v>0</v>
      </c>
      <c r="G691" s="347" t="s">
        <v>3507</v>
      </c>
      <c r="H691" s="330" t="s">
        <v>1107</v>
      </c>
      <c r="I691" s="326"/>
      <c r="J691" s="326"/>
      <c r="K691" s="334">
        <f>+L691+M691</f>
        <v>0</v>
      </c>
      <c r="L691" s="334">
        <v>0</v>
      </c>
      <c r="M691" s="334"/>
      <c r="N691" s="334">
        <f t="shared" si="20"/>
        <v>0</v>
      </c>
      <c r="O691" s="334">
        <v>0</v>
      </c>
      <c r="P691" s="334"/>
    </row>
    <row r="692" spans="1:16">
      <c r="A692" s="177">
        <v>330</v>
      </c>
      <c r="B692" s="326">
        <v>100</v>
      </c>
      <c r="C692" s="326">
        <v>201</v>
      </c>
      <c r="D692" s="326">
        <v>200</v>
      </c>
      <c r="E692" s="326">
        <v>0</v>
      </c>
      <c r="F692" s="326">
        <v>0</v>
      </c>
      <c r="G692" s="347" t="s">
        <v>3508</v>
      </c>
      <c r="H692" s="330" t="s">
        <v>1108</v>
      </c>
      <c r="I692" s="326"/>
      <c r="J692" s="326"/>
      <c r="K692" s="334">
        <f t="shared" ref="K692:K701" si="22">+L692+M692</f>
        <v>0</v>
      </c>
      <c r="L692" s="334">
        <v>0</v>
      </c>
      <c r="M692" s="334"/>
      <c r="N692" s="334">
        <f t="shared" si="20"/>
        <v>0</v>
      </c>
      <c r="O692" s="334"/>
      <c r="P692" s="334"/>
    </row>
    <row r="693" spans="1:16">
      <c r="A693" s="177">
        <v>330</v>
      </c>
      <c r="B693" s="326">
        <v>100</v>
      </c>
      <c r="C693" s="326">
        <v>201</v>
      </c>
      <c r="D693" s="326">
        <v>300</v>
      </c>
      <c r="E693" s="326">
        <v>0</v>
      </c>
      <c r="F693" s="326">
        <v>0</v>
      </c>
      <c r="G693" s="347" t="s">
        <v>3509</v>
      </c>
      <c r="H693" s="330" t="s">
        <v>1131</v>
      </c>
      <c r="I693" s="326"/>
      <c r="J693" s="326"/>
      <c r="K693" s="334">
        <f t="shared" si="22"/>
        <v>0</v>
      </c>
      <c r="L693" s="334">
        <v>0</v>
      </c>
      <c r="M693" s="334"/>
      <c r="N693" s="334">
        <f t="shared" si="20"/>
        <v>0</v>
      </c>
      <c r="O693" s="334"/>
      <c r="P693" s="334"/>
    </row>
    <row r="694" spans="1:16">
      <c r="A694" s="177">
        <v>330</v>
      </c>
      <c r="B694" s="326">
        <v>100</v>
      </c>
      <c r="C694" s="326">
        <v>201</v>
      </c>
      <c r="D694" s="326">
        <v>400</v>
      </c>
      <c r="E694" s="326">
        <v>0</v>
      </c>
      <c r="F694" s="326">
        <v>0</v>
      </c>
      <c r="G694" s="347" t="s">
        <v>3510</v>
      </c>
      <c r="H694" s="330" t="s">
        <v>1132</v>
      </c>
      <c r="I694" s="326"/>
      <c r="J694" s="326"/>
      <c r="K694" s="334">
        <f t="shared" si="22"/>
        <v>0</v>
      </c>
      <c r="L694" s="334">
        <v>0</v>
      </c>
      <c r="M694" s="334"/>
      <c r="N694" s="334">
        <f t="shared" si="20"/>
        <v>0</v>
      </c>
      <c r="O694" s="334"/>
      <c r="P694" s="334"/>
    </row>
    <row r="695" spans="1:16">
      <c r="A695" s="177">
        <v>330</v>
      </c>
      <c r="B695" s="326">
        <v>100</v>
      </c>
      <c r="C695" s="326">
        <v>201</v>
      </c>
      <c r="D695" s="326">
        <v>500</v>
      </c>
      <c r="E695" s="326">
        <v>0</v>
      </c>
      <c r="F695" s="326">
        <v>0</v>
      </c>
      <c r="G695" s="347" t="s">
        <v>3511</v>
      </c>
      <c r="H695" s="330" t="s">
        <v>1115</v>
      </c>
      <c r="I695" s="326"/>
      <c r="J695" s="326"/>
      <c r="K695" s="334">
        <f t="shared" si="22"/>
        <v>0</v>
      </c>
      <c r="L695" s="334">
        <v>0</v>
      </c>
      <c r="M695" s="334"/>
      <c r="N695" s="334">
        <f t="shared" si="20"/>
        <v>0</v>
      </c>
      <c r="O695" s="334"/>
      <c r="P695" s="334"/>
    </row>
    <row r="696" spans="1:16">
      <c r="A696" s="177">
        <v>330</v>
      </c>
      <c r="B696" s="326">
        <v>100</v>
      </c>
      <c r="C696" s="326">
        <v>201</v>
      </c>
      <c r="D696" s="326">
        <v>500</v>
      </c>
      <c r="E696" s="326">
        <v>5</v>
      </c>
      <c r="F696" s="326">
        <v>0</v>
      </c>
      <c r="G696" s="347" t="s">
        <v>3512</v>
      </c>
      <c r="H696" s="330" t="s">
        <v>1116</v>
      </c>
      <c r="I696" s="326"/>
      <c r="J696" s="326"/>
      <c r="K696" s="334">
        <f t="shared" si="22"/>
        <v>0</v>
      </c>
      <c r="L696" s="334">
        <v>0</v>
      </c>
      <c r="M696" s="334"/>
      <c r="N696" s="334">
        <f t="shared" si="20"/>
        <v>0</v>
      </c>
      <c r="O696" s="334"/>
      <c r="P696" s="334"/>
    </row>
    <row r="697" spans="1:16">
      <c r="A697" s="177">
        <v>330</v>
      </c>
      <c r="B697" s="326">
        <v>100</v>
      </c>
      <c r="C697" s="326">
        <v>201</v>
      </c>
      <c r="D697" s="326">
        <v>500</v>
      </c>
      <c r="E697" s="326">
        <v>10</v>
      </c>
      <c r="F697" s="326">
        <v>0</v>
      </c>
      <c r="G697" s="347" t="s">
        <v>3513</v>
      </c>
      <c r="H697" s="330" t="s">
        <v>1117</v>
      </c>
      <c r="I697" s="326"/>
      <c r="J697" s="326"/>
      <c r="K697" s="334">
        <f t="shared" si="22"/>
        <v>0</v>
      </c>
      <c r="L697" s="334">
        <v>0</v>
      </c>
      <c r="M697" s="334"/>
      <c r="N697" s="334">
        <f t="shared" si="20"/>
        <v>0</v>
      </c>
      <c r="O697" s="334"/>
      <c r="P697" s="334"/>
    </row>
    <row r="698" spans="1:16" ht="25.5">
      <c r="A698" s="177">
        <v>330</v>
      </c>
      <c r="B698" s="326">
        <v>100</v>
      </c>
      <c r="C698" s="326">
        <v>201</v>
      </c>
      <c r="D698" s="326">
        <v>500</v>
      </c>
      <c r="E698" s="326">
        <v>15</v>
      </c>
      <c r="F698" s="326">
        <v>0</v>
      </c>
      <c r="G698" s="347" t="s">
        <v>3514</v>
      </c>
      <c r="H698" s="330" t="s">
        <v>3492</v>
      </c>
      <c r="I698" s="326"/>
      <c r="J698" s="326"/>
      <c r="K698" s="334">
        <f t="shared" si="22"/>
        <v>0</v>
      </c>
      <c r="L698" s="334">
        <v>0</v>
      </c>
      <c r="M698" s="334"/>
      <c r="N698" s="334">
        <f t="shared" si="20"/>
        <v>0</v>
      </c>
      <c r="O698" s="334"/>
      <c r="P698" s="334"/>
    </row>
    <row r="699" spans="1:16">
      <c r="A699" s="177">
        <v>330</v>
      </c>
      <c r="B699" s="326">
        <v>100</v>
      </c>
      <c r="C699" s="326">
        <v>201</v>
      </c>
      <c r="D699" s="326">
        <v>900</v>
      </c>
      <c r="E699" s="326">
        <v>0</v>
      </c>
      <c r="F699" s="326">
        <v>0</v>
      </c>
      <c r="G699" s="347" t="s">
        <v>3515</v>
      </c>
      <c r="H699" s="330" t="s">
        <v>1135</v>
      </c>
      <c r="I699" s="326"/>
      <c r="J699" s="326"/>
      <c r="K699" s="334">
        <f t="shared" si="22"/>
        <v>0</v>
      </c>
      <c r="L699" s="334">
        <v>0</v>
      </c>
      <c r="M699" s="334"/>
      <c r="N699" s="334">
        <f t="shared" si="20"/>
        <v>0</v>
      </c>
      <c r="O699" s="334">
        <v>0</v>
      </c>
      <c r="P699" s="334"/>
    </row>
    <row r="700" spans="1:16">
      <c r="A700" s="177">
        <v>330</v>
      </c>
      <c r="B700" s="326">
        <v>100</v>
      </c>
      <c r="C700" s="326">
        <v>300</v>
      </c>
      <c r="D700" s="326">
        <v>0</v>
      </c>
      <c r="E700" s="326">
        <v>0</v>
      </c>
      <c r="F700" s="326">
        <v>0</v>
      </c>
      <c r="G700" s="331" t="s">
        <v>2920</v>
      </c>
      <c r="H700" s="330" t="s">
        <v>1179</v>
      </c>
      <c r="I700" s="326" t="s">
        <v>1180</v>
      </c>
      <c r="J700" s="326"/>
      <c r="K700" s="334">
        <f t="shared" si="22"/>
        <v>0</v>
      </c>
      <c r="L700" s="334">
        <v>0</v>
      </c>
      <c r="M700" s="334"/>
      <c r="N700" s="334">
        <f t="shared" si="20"/>
        <v>0</v>
      </c>
      <c r="O700" s="334">
        <v>0</v>
      </c>
      <c r="P700" s="334"/>
    </row>
    <row r="701" spans="1:16" ht="25.5">
      <c r="A701" s="326">
        <v>330</v>
      </c>
      <c r="B701" s="326">
        <v>100</v>
      </c>
      <c r="C701" s="326">
        <v>400</v>
      </c>
      <c r="D701" s="326">
        <v>0</v>
      </c>
      <c r="E701" s="326">
        <v>0</v>
      </c>
      <c r="F701" s="326">
        <v>0</v>
      </c>
      <c r="G701" s="408" t="s">
        <v>3516</v>
      </c>
      <c r="H701" s="330" t="s">
        <v>3494</v>
      </c>
      <c r="I701" s="326" t="s">
        <v>1180</v>
      </c>
      <c r="J701" s="325"/>
      <c r="K701" s="334">
        <f t="shared" si="22"/>
        <v>0</v>
      </c>
      <c r="L701" s="336">
        <v>0</v>
      </c>
      <c r="M701" s="336"/>
      <c r="N701" s="334">
        <f t="shared" si="20"/>
        <v>0</v>
      </c>
      <c r="O701" s="336">
        <v>0</v>
      </c>
      <c r="P701" s="336"/>
    </row>
    <row r="702" spans="1:16">
      <c r="A702" s="177">
        <v>330</v>
      </c>
      <c r="B702" s="326">
        <v>200</v>
      </c>
      <c r="C702" s="326">
        <v>0</v>
      </c>
      <c r="D702" s="326">
        <v>0</v>
      </c>
      <c r="E702" s="326">
        <v>0</v>
      </c>
      <c r="F702" s="326">
        <v>0</v>
      </c>
      <c r="G702" s="331" t="s">
        <v>2921</v>
      </c>
      <c r="H702" s="331" t="s">
        <v>1181</v>
      </c>
      <c r="I702" s="326" t="s">
        <v>1182</v>
      </c>
      <c r="J702" s="325"/>
      <c r="K702" s="335">
        <f t="shared" si="21"/>
        <v>0</v>
      </c>
      <c r="L702" s="335">
        <v>0</v>
      </c>
      <c r="M702" s="335"/>
      <c r="N702" s="335">
        <f t="shared" si="20"/>
        <v>0</v>
      </c>
      <c r="O702" s="335">
        <v>0</v>
      </c>
      <c r="P702" s="335"/>
    </row>
    <row r="703" spans="1:16" ht="25.5">
      <c r="A703" s="177">
        <v>330</v>
      </c>
      <c r="B703" s="326">
        <v>200</v>
      </c>
      <c r="C703" s="326">
        <v>100</v>
      </c>
      <c r="D703" s="326">
        <v>0</v>
      </c>
      <c r="E703" s="326">
        <v>0</v>
      </c>
      <c r="F703" s="326">
        <v>0</v>
      </c>
      <c r="G703" s="331" t="s">
        <v>2922</v>
      </c>
      <c r="H703" s="331" t="s">
        <v>1183</v>
      </c>
      <c r="I703" s="326" t="s">
        <v>1184</v>
      </c>
      <c r="J703" s="325"/>
      <c r="K703" s="335">
        <f t="shared" si="21"/>
        <v>0</v>
      </c>
      <c r="L703" s="335">
        <v>0</v>
      </c>
      <c r="M703" s="335"/>
      <c r="N703" s="335">
        <f t="shared" si="20"/>
        <v>0</v>
      </c>
      <c r="O703" s="335">
        <v>0</v>
      </c>
      <c r="P703" s="335"/>
    </row>
    <row r="704" spans="1:16">
      <c r="A704" s="177">
        <v>330</v>
      </c>
      <c r="B704" s="326">
        <v>200</v>
      </c>
      <c r="C704" s="326">
        <v>100</v>
      </c>
      <c r="D704" s="326">
        <v>100</v>
      </c>
      <c r="E704" s="326">
        <v>0</v>
      </c>
      <c r="F704" s="326">
        <v>0</v>
      </c>
      <c r="G704" s="347" t="s">
        <v>2923</v>
      </c>
      <c r="H704" s="330" t="s">
        <v>1107</v>
      </c>
      <c r="I704" s="326"/>
      <c r="J704" s="326"/>
      <c r="K704" s="334">
        <f t="shared" si="21"/>
        <v>556966.68999999994</v>
      </c>
      <c r="L704" s="334">
        <v>556966.68999999994</v>
      </c>
      <c r="M704" s="334"/>
      <c r="N704" s="334">
        <f t="shared" si="20"/>
        <v>571578.21</v>
      </c>
      <c r="O704" s="334">
        <v>571578.21</v>
      </c>
      <c r="P704" s="334"/>
    </row>
    <row r="705" spans="1:16">
      <c r="A705" s="177">
        <v>330</v>
      </c>
      <c r="B705" s="326">
        <v>200</v>
      </c>
      <c r="C705" s="326">
        <v>100</v>
      </c>
      <c r="D705" s="326">
        <v>200</v>
      </c>
      <c r="E705" s="326">
        <v>0</v>
      </c>
      <c r="F705" s="326">
        <v>0</v>
      </c>
      <c r="G705" s="347" t="s">
        <v>2924</v>
      </c>
      <c r="H705" s="330" t="s">
        <v>1143</v>
      </c>
      <c r="I705" s="326"/>
      <c r="J705" s="326"/>
      <c r="K705" s="334">
        <f t="shared" si="21"/>
        <v>5676.91</v>
      </c>
      <c r="L705" s="334">
        <v>5676.91</v>
      </c>
      <c r="M705" s="334"/>
      <c r="N705" s="334">
        <f t="shared" si="20"/>
        <v>4294.8500000000004</v>
      </c>
      <c r="O705" s="334">
        <v>4294.8500000000004</v>
      </c>
      <c r="P705" s="334"/>
    </row>
    <row r="706" spans="1:16">
      <c r="A706" s="177">
        <v>330</v>
      </c>
      <c r="B706" s="326">
        <v>200</v>
      </c>
      <c r="C706" s="326">
        <v>100</v>
      </c>
      <c r="D706" s="326">
        <v>300</v>
      </c>
      <c r="E706" s="326">
        <v>0</v>
      </c>
      <c r="F706" s="326">
        <v>0</v>
      </c>
      <c r="G706" s="347" t="s">
        <v>2925</v>
      </c>
      <c r="H706" s="330" t="s">
        <v>1144</v>
      </c>
      <c r="I706" s="326"/>
      <c r="J706" s="326"/>
      <c r="K706" s="334">
        <f t="shared" si="21"/>
        <v>8195.3799999999992</v>
      </c>
      <c r="L706" s="334">
        <v>8195.3799999999992</v>
      </c>
      <c r="M706" s="334"/>
      <c r="N706" s="334">
        <f t="shared" si="20"/>
        <v>8609.32</v>
      </c>
      <c r="O706" s="334">
        <v>8609.32</v>
      </c>
      <c r="P706" s="334"/>
    </row>
    <row r="707" spans="1:16">
      <c r="A707" s="177">
        <v>330</v>
      </c>
      <c r="B707" s="326">
        <v>200</v>
      </c>
      <c r="C707" s="326">
        <v>100</v>
      </c>
      <c r="D707" s="326">
        <v>301</v>
      </c>
      <c r="E707" s="326">
        <v>0</v>
      </c>
      <c r="F707" s="326">
        <v>0</v>
      </c>
      <c r="G707" s="347" t="s">
        <v>2302</v>
      </c>
      <c r="H707" s="330" t="s">
        <v>2263</v>
      </c>
      <c r="I707" s="326"/>
      <c r="J707" s="326"/>
      <c r="K707" s="334">
        <f t="shared" si="21"/>
        <v>20530.93</v>
      </c>
      <c r="L707" s="334">
        <v>20530.93</v>
      </c>
      <c r="M707" s="334"/>
      <c r="N707" s="334">
        <f t="shared" si="20"/>
        <v>12155.03</v>
      </c>
      <c r="O707" s="334">
        <v>12155.03</v>
      </c>
      <c r="P707" s="334"/>
    </row>
    <row r="708" spans="1:16">
      <c r="A708" s="177">
        <v>330</v>
      </c>
      <c r="B708" s="326">
        <v>200</v>
      </c>
      <c r="C708" s="326">
        <v>100</v>
      </c>
      <c r="D708" s="326">
        <v>302</v>
      </c>
      <c r="E708" s="326">
        <v>0</v>
      </c>
      <c r="F708" s="326">
        <v>0</v>
      </c>
      <c r="G708" s="347" t="s">
        <v>2303</v>
      </c>
      <c r="H708" s="330" t="s">
        <v>2265</v>
      </c>
      <c r="I708" s="326"/>
      <c r="J708" s="326"/>
      <c r="K708" s="334">
        <f t="shared" si="21"/>
        <v>67803.19</v>
      </c>
      <c r="L708" s="334">
        <v>67803.19</v>
      </c>
      <c r="M708" s="334"/>
      <c r="N708" s="334">
        <f t="shared" si="20"/>
        <v>56603.39</v>
      </c>
      <c r="O708" s="334">
        <v>56603.39</v>
      </c>
      <c r="P708" s="334"/>
    </row>
    <row r="709" spans="1:16">
      <c r="A709" s="177">
        <v>330</v>
      </c>
      <c r="B709" s="326">
        <v>200</v>
      </c>
      <c r="C709" s="326">
        <v>100</v>
      </c>
      <c r="D709" s="326">
        <v>400</v>
      </c>
      <c r="E709" s="326">
        <v>0</v>
      </c>
      <c r="F709" s="326">
        <v>0</v>
      </c>
      <c r="G709" s="347" t="s">
        <v>2926</v>
      </c>
      <c r="H709" s="330" t="s">
        <v>1145</v>
      </c>
      <c r="I709" s="326"/>
      <c r="J709" s="326"/>
      <c r="K709" s="334">
        <f t="shared" si="21"/>
        <v>55766.57</v>
      </c>
      <c r="L709" s="334">
        <v>55766.57</v>
      </c>
      <c r="M709" s="334"/>
      <c r="N709" s="334">
        <f t="shared" si="20"/>
        <v>43331.040000000001</v>
      </c>
      <c r="O709" s="334">
        <v>43331.040000000001</v>
      </c>
      <c r="P709" s="334"/>
    </row>
    <row r="710" spans="1:16">
      <c r="A710" s="177">
        <v>330</v>
      </c>
      <c r="B710" s="326">
        <v>200</v>
      </c>
      <c r="C710" s="326">
        <v>100</v>
      </c>
      <c r="D710" s="326">
        <v>500</v>
      </c>
      <c r="E710" s="326">
        <v>0</v>
      </c>
      <c r="F710" s="326">
        <v>0</v>
      </c>
      <c r="G710" s="347" t="s">
        <v>2927</v>
      </c>
      <c r="H710" s="330" t="s">
        <v>1132</v>
      </c>
      <c r="I710" s="326"/>
      <c r="J710" s="326"/>
      <c r="K710" s="334">
        <f t="shared" si="21"/>
        <v>11178.67</v>
      </c>
      <c r="L710" s="334">
        <v>11178.67</v>
      </c>
      <c r="M710" s="334"/>
      <c r="N710" s="334">
        <f t="shared" si="20"/>
        <v>7085.88</v>
      </c>
      <c r="O710" s="334">
        <v>7085.88</v>
      </c>
      <c r="P710" s="334"/>
    </row>
    <row r="711" spans="1:16">
      <c r="A711" s="177">
        <v>330</v>
      </c>
      <c r="B711" s="326">
        <v>200</v>
      </c>
      <c r="C711" s="326">
        <v>100</v>
      </c>
      <c r="D711" s="326">
        <v>600</v>
      </c>
      <c r="E711" s="326">
        <v>0</v>
      </c>
      <c r="F711" s="326">
        <v>0</v>
      </c>
      <c r="G711" s="348" t="s">
        <v>2928</v>
      </c>
      <c r="H711" s="331" t="s">
        <v>1115</v>
      </c>
      <c r="I711" s="326"/>
      <c r="J711" s="325"/>
      <c r="K711" s="335">
        <f t="shared" si="21"/>
        <v>0</v>
      </c>
      <c r="L711" s="335">
        <v>0</v>
      </c>
      <c r="M711" s="335"/>
      <c r="N711" s="335">
        <f t="shared" ref="N711:N774" si="23">+O711+P711</f>
        <v>0</v>
      </c>
      <c r="O711" s="335">
        <v>0</v>
      </c>
      <c r="P711" s="335"/>
    </row>
    <row r="712" spans="1:16">
      <c r="A712" s="177">
        <v>330</v>
      </c>
      <c r="B712" s="326">
        <v>200</v>
      </c>
      <c r="C712" s="326">
        <v>100</v>
      </c>
      <c r="D712" s="326">
        <v>600</v>
      </c>
      <c r="E712" s="326">
        <v>5</v>
      </c>
      <c r="F712" s="326">
        <v>0</v>
      </c>
      <c r="G712" s="347" t="s">
        <v>2929</v>
      </c>
      <c r="H712" s="330" t="s">
        <v>1116</v>
      </c>
      <c r="I712" s="326"/>
      <c r="J712" s="326"/>
      <c r="K712" s="334">
        <f t="shared" si="21"/>
        <v>0</v>
      </c>
      <c r="L712" s="334">
        <v>0</v>
      </c>
      <c r="M712" s="334"/>
      <c r="N712" s="334">
        <f t="shared" si="23"/>
        <v>0</v>
      </c>
      <c r="O712" s="334">
        <v>0</v>
      </c>
      <c r="P712" s="334"/>
    </row>
    <row r="713" spans="1:16">
      <c r="A713" s="177">
        <v>330</v>
      </c>
      <c r="B713" s="326">
        <v>200</v>
      </c>
      <c r="C713" s="326">
        <v>100</v>
      </c>
      <c r="D713" s="326">
        <v>600</v>
      </c>
      <c r="E713" s="326">
        <v>10</v>
      </c>
      <c r="F713" s="326">
        <v>0</v>
      </c>
      <c r="G713" s="347" t="s">
        <v>2930</v>
      </c>
      <c r="H713" s="330" t="s">
        <v>1117</v>
      </c>
      <c r="I713" s="326"/>
      <c r="J713" s="326"/>
      <c r="K713" s="334">
        <f t="shared" si="21"/>
        <v>0</v>
      </c>
      <c r="L713" s="334">
        <v>0</v>
      </c>
      <c r="M713" s="334"/>
      <c r="N713" s="334">
        <f t="shared" si="23"/>
        <v>0</v>
      </c>
      <c r="O713" s="334">
        <v>0</v>
      </c>
      <c r="P713" s="334"/>
    </row>
    <row r="714" spans="1:16">
      <c r="A714" s="177">
        <v>330</v>
      </c>
      <c r="B714" s="326">
        <v>200</v>
      </c>
      <c r="C714" s="326">
        <v>100</v>
      </c>
      <c r="D714" s="326">
        <v>600</v>
      </c>
      <c r="E714" s="326">
        <v>15</v>
      </c>
      <c r="F714" s="326">
        <v>0</v>
      </c>
      <c r="G714" s="347" t="s">
        <v>2931</v>
      </c>
      <c r="H714" s="330" t="s">
        <v>1146</v>
      </c>
      <c r="I714" s="326"/>
      <c r="J714" s="326"/>
      <c r="K714" s="334">
        <f t="shared" si="21"/>
        <v>1336.18</v>
      </c>
      <c r="L714" s="334">
        <v>1336.18</v>
      </c>
      <c r="M714" s="334"/>
      <c r="N714" s="334">
        <f t="shared" si="23"/>
        <v>58.2</v>
      </c>
      <c r="O714" s="334">
        <v>58.2</v>
      </c>
      <c r="P714" s="334"/>
    </row>
    <row r="715" spans="1:16">
      <c r="A715" s="177">
        <v>330</v>
      </c>
      <c r="B715" s="326">
        <v>200</v>
      </c>
      <c r="C715" s="326">
        <v>100</v>
      </c>
      <c r="D715" s="326">
        <v>900</v>
      </c>
      <c r="E715" s="326">
        <v>0</v>
      </c>
      <c r="F715" s="326">
        <v>0</v>
      </c>
      <c r="G715" s="347" t="s">
        <v>2932</v>
      </c>
      <c r="H715" s="330" t="s">
        <v>1135</v>
      </c>
      <c r="I715" s="326"/>
      <c r="J715" s="326"/>
      <c r="K715" s="334">
        <f t="shared" si="21"/>
        <v>208869.93</v>
      </c>
      <c r="L715" s="334">
        <v>208869.93</v>
      </c>
      <c r="M715" s="334"/>
      <c r="N715" s="334">
        <f t="shared" si="23"/>
        <v>203883.94</v>
      </c>
      <c r="O715" s="334">
        <v>203883.94</v>
      </c>
      <c r="P715" s="334"/>
    </row>
    <row r="716" spans="1:16" ht="25.5">
      <c r="A716" s="177">
        <v>330</v>
      </c>
      <c r="B716" s="326">
        <v>200</v>
      </c>
      <c r="C716" s="326">
        <v>101</v>
      </c>
      <c r="D716" s="326">
        <v>0</v>
      </c>
      <c r="E716" s="326">
        <v>0</v>
      </c>
      <c r="F716" s="326">
        <v>0</v>
      </c>
      <c r="G716" s="347" t="s">
        <v>2304</v>
      </c>
      <c r="H716" s="331" t="s">
        <v>2305</v>
      </c>
      <c r="I716" s="326" t="s">
        <v>1184</v>
      </c>
      <c r="J716" s="325"/>
      <c r="K716" s="335">
        <f t="shared" si="21"/>
        <v>0</v>
      </c>
      <c r="L716" s="335">
        <v>0</v>
      </c>
      <c r="M716" s="335"/>
      <c r="N716" s="335">
        <f t="shared" si="23"/>
        <v>0</v>
      </c>
      <c r="O716" s="335">
        <v>0</v>
      </c>
      <c r="P716" s="335"/>
    </row>
    <row r="717" spans="1:16">
      <c r="A717" s="177">
        <v>330</v>
      </c>
      <c r="B717" s="326">
        <v>200</v>
      </c>
      <c r="C717" s="326">
        <v>101</v>
      </c>
      <c r="D717" s="326">
        <v>100</v>
      </c>
      <c r="E717" s="326">
        <v>0</v>
      </c>
      <c r="F717" s="326">
        <v>0</v>
      </c>
      <c r="G717" s="347" t="s">
        <v>2306</v>
      </c>
      <c r="H717" s="330" t="s">
        <v>1107</v>
      </c>
      <c r="I717" s="326"/>
      <c r="J717" s="325"/>
      <c r="K717" s="336">
        <f t="shared" si="21"/>
        <v>2018563.38</v>
      </c>
      <c r="L717" s="336">
        <v>2018563.38</v>
      </c>
      <c r="M717" s="336"/>
      <c r="N717" s="336">
        <f t="shared" si="23"/>
        <v>1969106.73</v>
      </c>
      <c r="O717" s="336">
        <v>1969106.73</v>
      </c>
      <c r="P717" s="336"/>
    </row>
    <row r="718" spans="1:16">
      <c r="A718" s="177">
        <v>330</v>
      </c>
      <c r="B718" s="326">
        <v>200</v>
      </c>
      <c r="C718" s="326">
        <v>101</v>
      </c>
      <c r="D718" s="326">
        <v>200</v>
      </c>
      <c r="E718" s="326">
        <v>0</v>
      </c>
      <c r="F718" s="326">
        <v>0</v>
      </c>
      <c r="G718" s="347" t="s">
        <v>2307</v>
      </c>
      <c r="H718" s="330" t="s">
        <v>1143</v>
      </c>
      <c r="I718" s="326"/>
      <c r="J718" s="325"/>
      <c r="K718" s="336">
        <f t="shared" si="21"/>
        <v>31417.919999999998</v>
      </c>
      <c r="L718" s="336">
        <v>31417.919999999998</v>
      </c>
      <c r="M718" s="336"/>
      <c r="N718" s="336">
        <f t="shared" si="23"/>
        <v>22337.58</v>
      </c>
      <c r="O718" s="336">
        <v>22337.58</v>
      </c>
      <c r="P718" s="336"/>
    </row>
    <row r="719" spans="1:16">
      <c r="A719" s="177">
        <v>330</v>
      </c>
      <c r="B719" s="326">
        <v>200</v>
      </c>
      <c r="C719" s="326">
        <v>101</v>
      </c>
      <c r="D719" s="326">
        <v>300</v>
      </c>
      <c r="E719" s="326">
        <v>0</v>
      </c>
      <c r="F719" s="326">
        <v>0</v>
      </c>
      <c r="G719" s="347" t="s">
        <v>2308</v>
      </c>
      <c r="H719" s="330" t="s">
        <v>1144</v>
      </c>
      <c r="I719" s="326"/>
      <c r="J719" s="325"/>
      <c r="K719" s="336">
        <f t="shared" si="21"/>
        <v>12653.44</v>
      </c>
      <c r="L719" s="336">
        <v>12653.44</v>
      </c>
      <c r="M719" s="336"/>
      <c r="N719" s="336">
        <f t="shared" si="23"/>
        <v>13281.99</v>
      </c>
      <c r="O719" s="336">
        <v>13281.99</v>
      </c>
      <c r="P719" s="336"/>
    </row>
    <row r="720" spans="1:16">
      <c r="A720" s="177">
        <v>330</v>
      </c>
      <c r="B720" s="326">
        <v>200</v>
      </c>
      <c r="C720" s="326">
        <v>101</v>
      </c>
      <c r="D720" s="326">
        <v>301</v>
      </c>
      <c r="E720" s="326">
        <v>0</v>
      </c>
      <c r="F720" s="326">
        <v>0</v>
      </c>
      <c r="G720" s="347" t="s">
        <v>2309</v>
      </c>
      <c r="H720" s="330" t="s">
        <v>2263</v>
      </c>
      <c r="I720" s="326"/>
      <c r="J720" s="325"/>
      <c r="K720" s="336">
        <f t="shared" si="21"/>
        <v>13340.69</v>
      </c>
      <c r="L720" s="336">
        <v>13340.69</v>
      </c>
      <c r="M720" s="336"/>
      <c r="N720" s="336">
        <f t="shared" si="23"/>
        <v>996.09</v>
      </c>
      <c r="O720" s="336">
        <v>996.09</v>
      </c>
      <c r="P720" s="336"/>
    </row>
    <row r="721" spans="1:16">
      <c r="A721" s="177">
        <v>330</v>
      </c>
      <c r="B721" s="326">
        <v>200</v>
      </c>
      <c r="C721" s="326">
        <v>101</v>
      </c>
      <c r="D721" s="326">
        <v>302</v>
      </c>
      <c r="E721" s="326">
        <v>0</v>
      </c>
      <c r="F721" s="326">
        <v>0</v>
      </c>
      <c r="G721" s="347" t="s">
        <v>2310</v>
      </c>
      <c r="H721" s="330" t="s">
        <v>2265</v>
      </c>
      <c r="I721" s="326"/>
      <c r="J721" s="325"/>
      <c r="K721" s="336">
        <f t="shared" si="21"/>
        <v>151259.82999999999</v>
      </c>
      <c r="L721" s="336">
        <v>151259.82999999999</v>
      </c>
      <c r="M721" s="336"/>
      <c r="N721" s="336">
        <f t="shared" si="23"/>
        <v>129946.48</v>
      </c>
      <c r="O721" s="336">
        <v>129946.48</v>
      </c>
      <c r="P721" s="336"/>
    </row>
    <row r="722" spans="1:16">
      <c r="A722" s="177">
        <v>330</v>
      </c>
      <c r="B722" s="326">
        <v>200</v>
      </c>
      <c r="C722" s="326">
        <v>101</v>
      </c>
      <c r="D722" s="326">
        <v>400</v>
      </c>
      <c r="E722" s="326">
        <v>0</v>
      </c>
      <c r="F722" s="326">
        <v>0</v>
      </c>
      <c r="G722" s="347" t="s">
        <v>2311</v>
      </c>
      <c r="H722" s="330" t="s">
        <v>1145</v>
      </c>
      <c r="I722" s="326"/>
      <c r="J722" s="325"/>
      <c r="K722" s="336">
        <f t="shared" si="21"/>
        <v>209983.39</v>
      </c>
      <c r="L722" s="336">
        <v>209983.39</v>
      </c>
      <c r="M722" s="336"/>
      <c r="N722" s="336">
        <f t="shared" si="23"/>
        <v>196374.79</v>
      </c>
      <c r="O722" s="336">
        <v>196374.79</v>
      </c>
      <c r="P722" s="336"/>
    </row>
    <row r="723" spans="1:16">
      <c r="A723" s="177">
        <v>330</v>
      </c>
      <c r="B723" s="326">
        <v>200</v>
      </c>
      <c r="C723" s="326">
        <v>101</v>
      </c>
      <c r="D723" s="326">
        <v>500</v>
      </c>
      <c r="E723" s="326">
        <v>0</v>
      </c>
      <c r="F723" s="326">
        <v>0</v>
      </c>
      <c r="G723" s="347" t="s">
        <v>2312</v>
      </c>
      <c r="H723" s="330" t="s">
        <v>1132</v>
      </c>
      <c r="I723" s="326"/>
      <c r="J723" s="325"/>
      <c r="K723" s="336">
        <f t="shared" si="21"/>
        <v>244042.72</v>
      </c>
      <c r="L723" s="336">
        <v>244042.72</v>
      </c>
      <c r="M723" s="336"/>
      <c r="N723" s="336">
        <f t="shared" si="23"/>
        <v>246744.15</v>
      </c>
      <c r="O723" s="336">
        <v>246744.15</v>
      </c>
      <c r="P723" s="336"/>
    </row>
    <row r="724" spans="1:16">
      <c r="A724" s="177">
        <v>330</v>
      </c>
      <c r="B724" s="326">
        <v>200</v>
      </c>
      <c r="C724" s="326">
        <v>101</v>
      </c>
      <c r="D724" s="326">
        <v>600</v>
      </c>
      <c r="E724" s="326">
        <v>0</v>
      </c>
      <c r="F724" s="326">
        <v>0</v>
      </c>
      <c r="G724" s="347" t="s">
        <v>2313</v>
      </c>
      <c r="H724" s="330" t="s">
        <v>1115</v>
      </c>
      <c r="I724" s="326"/>
      <c r="J724" s="325"/>
      <c r="K724" s="336">
        <f t="shared" si="21"/>
        <v>0</v>
      </c>
      <c r="L724" s="336">
        <v>0</v>
      </c>
      <c r="M724" s="336"/>
      <c r="N724" s="336">
        <f t="shared" si="23"/>
        <v>0</v>
      </c>
      <c r="O724" s="336">
        <v>0</v>
      </c>
      <c r="P724" s="336"/>
    </row>
    <row r="725" spans="1:16">
      <c r="A725" s="177">
        <v>330</v>
      </c>
      <c r="B725" s="326">
        <v>200</v>
      </c>
      <c r="C725" s="326">
        <v>101</v>
      </c>
      <c r="D725" s="326">
        <v>600</v>
      </c>
      <c r="E725" s="326">
        <v>5</v>
      </c>
      <c r="F725" s="326">
        <v>0</v>
      </c>
      <c r="G725" s="347" t="s">
        <v>2314</v>
      </c>
      <c r="H725" s="330" t="s">
        <v>1116</v>
      </c>
      <c r="I725" s="326"/>
      <c r="J725" s="325"/>
      <c r="K725" s="336">
        <f t="shared" si="21"/>
        <v>0</v>
      </c>
      <c r="L725" s="336">
        <v>0</v>
      </c>
      <c r="M725" s="336"/>
      <c r="N725" s="336">
        <f t="shared" si="23"/>
        <v>0</v>
      </c>
      <c r="O725" s="336">
        <v>0</v>
      </c>
      <c r="P725" s="336"/>
    </row>
    <row r="726" spans="1:16">
      <c r="A726" s="177">
        <v>330</v>
      </c>
      <c r="B726" s="326">
        <v>200</v>
      </c>
      <c r="C726" s="326">
        <v>101</v>
      </c>
      <c r="D726" s="326">
        <v>600</v>
      </c>
      <c r="E726" s="326">
        <v>10</v>
      </c>
      <c r="F726" s="326">
        <v>0</v>
      </c>
      <c r="G726" s="347" t="s">
        <v>2315</v>
      </c>
      <c r="H726" s="330" t="s">
        <v>1117</v>
      </c>
      <c r="I726" s="326"/>
      <c r="J726" s="325"/>
      <c r="K726" s="336">
        <f t="shared" si="21"/>
        <v>0</v>
      </c>
      <c r="L726" s="336">
        <v>0</v>
      </c>
      <c r="M726" s="336"/>
      <c r="N726" s="336">
        <f t="shared" si="23"/>
        <v>0</v>
      </c>
      <c r="O726" s="336">
        <v>0</v>
      </c>
      <c r="P726" s="336"/>
    </row>
    <row r="727" spans="1:16">
      <c r="A727" s="177">
        <v>330</v>
      </c>
      <c r="B727" s="326">
        <v>200</v>
      </c>
      <c r="C727" s="326">
        <v>101</v>
      </c>
      <c r="D727" s="326">
        <v>600</v>
      </c>
      <c r="E727" s="326">
        <v>15</v>
      </c>
      <c r="F727" s="326">
        <v>0</v>
      </c>
      <c r="G727" s="347" t="s">
        <v>2316</v>
      </c>
      <c r="H727" s="330" t="s">
        <v>1146</v>
      </c>
      <c r="I727" s="326"/>
      <c r="J727" s="325"/>
      <c r="K727" s="336">
        <f t="shared" si="21"/>
        <v>0</v>
      </c>
      <c r="L727" s="336">
        <v>0</v>
      </c>
      <c r="M727" s="336"/>
      <c r="N727" s="336">
        <f t="shared" si="23"/>
        <v>195.06</v>
      </c>
      <c r="O727" s="336">
        <v>195.06</v>
      </c>
      <c r="P727" s="336"/>
    </row>
    <row r="728" spans="1:16">
      <c r="A728" s="177">
        <v>330</v>
      </c>
      <c r="B728" s="326">
        <v>200</v>
      </c>
      <c r="C728" s="326">
        <v>101</v>
      </c>
      <c r="D728" s="326">
        <v>900</v>
      </c>
      <c r="E728" s="326">
        <v>0</v>
      </c>
      <c r="F728" s="326">
        <v>0</v>
      </c>
      <c r="G728" s="347" t="s">
        <v>2317</v>
      </c>
      <c r="H728" s="330" t="s">
        <v>1135</v>
      </c>
      <c r="I728" s="326"/>
      <c r="J728" s="325"/>
      <c r="K728" s="336">
        <f t="shared" si="21"/>
        <v>792896.34</v>
      </c>
      <c r="L728" s="336">
        <v>792896.34</v>
      </c>
      <c r="M728" s="336"/>
      <c r="N728" s="336">
        <f t="shared" si="23"/>
        <v>761929.35</v>
      </c>
      <c r="O728" s="336">
        <v>761929.35</v>
      </c>
      <c r="P728" s="336"/>
    </row>
    <row r="729" spans="1:16" ht="25.5">
      <c r="A729" s="177">
        <v>330</v>
      </c>
      <c r="B729" s="326">
        <v>200</v>
      </c>
      <c r="C729" s="326">
        <v>200</v>
      </c>
      <c r="D729" s="326">
        <v>0</v>
      </c>
      <c r="E729" s="326">
        <v>0</v>
      </c>
      <c r="F729" s="326">
        <v>0</v>
      </c>
      <c r="G729" s="331" t="s">
        <v>2933</v>
      </c>
      <c r="H729" s="331" t="s">
        <v>1185</v>
      </c>
      <c r="I729" s="326" t="s">
        <v>1186</v>
      </c>
      <c r="J729" s="325"/>
      <c r="K729" s="335">
        <f t="shared" si="21"/>
        <v>0</v>
      </c>
      <c r="L729" s="335">
        <v>0</v>
      </c>
      <c r="M729" s="335"/>
      <c r="N729" s="335">
        <f t="shared" si="23"/>
        <v>0</v>
      </c>
      <c r="O729" s="335">
        <v>0</v>
      </c>
      <c r="P729" s="335"/>
    </row>
    <row r="730" spans="1:16">
      <c r="A730" s="177">
        <v>330</v>
      </c>
      <c r="B730" s="326">
        <v>200</v>
      </c>
      <c r="C730" s="326">
        <v>200</v>
      </c>
      <c r="D730" s="326">
        <v>100</v>
      </c>
      <c r="E730" s="326">
        <v>0</v>
      </c>
      <c r="F730" s="326">
        <v>0</v>
      </c>
      <c r="G730" s="347" t="s">
        <v>2934</v>
      </c>
      <c r="H730" s="330" t="s">
        <v>1107</v>
      </c>
      <c r="I730" s="326"/>
      <c r="J730" s="326"/>
      <c r="K730" s="334">
        <f t="shared" si="21"/>
        <v>55553.19</v>
      </c>
      <c r="L730" s="334">
        <v>55553.19</v>
      </c>
      <c r="M730" s="334"/>
      <c r="N730" s="334">
        <f t="shared" si="23"/>
        <v>39415.33</v>
      </c>
      <c r="O730" s="334">
        <v>39415.33</v>
      </c>
      <c r="P730" s="334"/>
    </row>
    <row r="731" spans="1:16">
      <c r="A731" s="177">
        <v>330</v>
      </c>
      <c r="B731" s="326">
        <v>200</v>
      </c>
      <c r="C731" s="326">
        <v>200</v>
      </c>
      <c r="D731" s="326">
        <v>200</v>
      </c>
      <c r="E731" s="326">
        <v>0</v>
      </c>
      <c r="F731" s="326">
        <v>0</v>
      </c>
      <c r="G731" s="347" t="s">
        <v>2935</v>
      </c>
      <c r="H731" s="330" t="s">
        <v>1143</v>
      </c>
      <c r="I731" s="326"/>
      <c r="J731" s="326"/>
      <c r="K731" s="334">
        <f t="shared" si="21"/>
        <v>135.54</v>
      </c>
      <c r="L731" s="334">
        <v>135.54</v>
      </c>
      <c r="M731" s="334"/>
      <c r="N731" s="334">
        <f t="shared" si="23"/>
        <v>103.44</v>
      </c>
      <c r="O731" s="334">
        <v>103.44</v>
      </c>
      <c r="P731" s="334"/>
    </row>
    <row r="732" spans="1:16">
      <c r="A732" s="177">
        <v>330</v>
      </c>
      <c r="B732" s="326">
        <v>200</v>
      </c>
      <c r="C732" s="326">
        <v>200</v>
      </c>
      <c r="D732" s="326">
        <v>300</v>
      </c>
      <c r="E732" s="326">
        <v>0</v>
      </c>
      <c r="F732" s="326">
        <v>0</v>
      </c>
      <c r="G732" s="347" t="s">
        <v>2936</v>
      </c>
      <c r="H732" s="330" t="s">
        <v>1144</v>
      </c>
      <c r="I732" s="326"/>
      <c r="J732" s="326"/>
      <c r="K732" s="334">
        <f t="shared" si="21"/>
        <v>1363.92</v>
      </c>
      <c r="L732" s="334">
        <v>1363.92</v>
      </c>
      <c r="M732" s="334"/>
      <c r="N732" s="334">
        <f t="shared" si="23"/>
        <v>858.08</v>
      </c>
      <c r="O732" s="334">
        <v>858.08</v>
      </c>
      <c r="P732" s="334"/>
    </row>
    <row r="733" spans="1:16">
      <c r="A733" s="177">
        <v>330</v>
      </c>
      <c r="B733" s="326">
        <v>200</v>
      </c>
      <c r="C733" s="326">
        <v>200</v>
      </c>
      <c r="D733" s="326">
        <v>301</v>
      </c>
      <c r="E733" s="326">
        <v>0</v>
      </c>
      <c r="F733" s="326">
        <v>0</v>
      </c>
      <c r="G733" s="347" t="s">
        <v>2318</v>
      </c>
      <c r="H733" s="330" t="s">
        <v>2263</v>
      </c>
      <c r="I733" s="326"/>
      <c r="J733" s="326"/>
      <c r="K733" s="334">
        <f t="shared" si="21"/>
        <v>780.85</v>
      </c>
      <c r="L733" s="334">
        <v>780.85</v>
      </c>
      <c r="M733" s="334"/>
      <c r="N733" s="334">
        <f t="shared" si="23"/>
        <v>754.02</v>
      </c>
      <c r="O733" s="334">
        <v>754.02</v>
      </c>
      <c r="P733" s="334"/>
    </row>
    <row r="734" spans="1:16">
      <c r="A734" s="177">
        <v>330</v>
      </c>
      <c r="B734" s="326">
        <v>200</v>
      </c>
      <c r="C734" s="326">
        <v>200</v>
      </c>
      <c r="D734" s="326">
        <v>302</v>
      </c>
      <c r="E734" s="326">
        <v>0</v>
      </c>
      <c r="F734" s="326">
        <v>0</v>
      </c>
      <c r="G734" s="347" t="s">
        <v>2319</v>
      </c>
      <c r="H734" s="330" t="s">
        <v>2265</v>
      </c>
      <c r="I734" s="326"/>
      <c r="J734" s="326"/>
      <c r="K734" s="334">
        <f t="shared" si="21"/>
        <v>135.22</v>
      </c>
      <c r="L734" s="334">
        <v>135.22</v>
      </c>
      <c r="M734" s="334"/>
      <c r="N734" s="334">
        <f t="shared" si="23"/>
        <v>790.1</v>
      </c>
      <c r="O734" s="334">
        <v>790.1</v>
      </c>
      <c r="P734" s="334"/>
    </row>
    <row r="735" spans="1:16">
      <c r="A735" s="177">
        <v>330</v>
      </c>
      <c r="B735" s="326">
        <v>200</v>
      </c>
      <c r="C735" s="326">
        <v>200</v>
      </c>
      <c r="D735" s="326">
        <v>400</v>
      </c>
      <c r="E735" s="326">
        <v>0</v>
      </c>
      <c r="F735" s="326">
        <v>0</v>
      </c>
      <c r="G735" s="347" t="s">
        <v>2937</v>
      </c>
      <c r="H735" s="330" t="s">
        <v>1145</v>
      </c>
      <c r="I735" s="326"/>
      <c r="J735" s="326"/>
      <c r="K735" s="334">
        <f t="shared" si="21"/>
        <v>406.62</v>
      </c>
      <c r="L735" s="334">
        <v>406.62</v>
      </c>
      <c r="M735" s="334"/>
      <c r="N735" s="334">
        <f t="shared" si="23"/>
        <v>2907.48</v>
      </c>
      <c r="O735" s="334">
        <v>2907.48</v>
      </c>
      <c r="P735" s="334"/>
    </row>
    <row r="736" spans="1:16">
      <c r="A736" s="177">
        <v>330</v>
      </c>
      <c r="B736" s="326">
        <v>200</v>
      </c>
      <c r="C736" s="326">
        <v>200</v>
      </c>
      <c r="D736" s="326">
        <v>500</v>
      </c>
      <c r="E736" s="326">
        <v>0</v>
      </c>
      <c r="F736" s="326">
        <v>0</v>
      </c>
      <c r="G736" s="347" t="s">
        <v>2938</v>
      </c>
      <c r="H736" s="330" t="s">
        <v>1132</v>
      </c>
      <c r="I736" s="326"/>
      <c r="J736" s="326"/>
      <c r="K736" s="334">
        <f t="shared" si="21"/>
        <v>48.32</v>
      </c>
      <c r="L736" s="334">
        <v>48.32</v>
      </c>
      <c r="M736" s="334"/>
      <c r="N736" s="334">
        <f t="shared" si="23"/>
        <v>293.94</v>
      </c>
      <c r="O736" s="334">
        <v>293.94</v>
      </c>
      <c r="P736" s="334"/>
    </row>
    <row r="737" spans="1:16">
      <c r="A737" s="177">
        <v>330</v>
      </c>
      <c r="B737" s="326">
        <v>200</v>
      </c>
      <c r="C737" s="326">
        <v>200</v>
      </c>
      <c r="D737" s="326">
        <v>600</v>
      </c>
      <c r="E737" s="326">
        <v>0</v>
      </c>
      <c r="F737" s="326">
        <v>0</v>
      </c>
      <c r="G737" s="348" t="s">
        <v>2939</v>
      </c>
      <c r="H737" s="331" t="s">
        <v>1115</v>
      </c>
      <c r="I737" s="326"/>
      <c r="J737" s="325"/>
      <c r="K737" s="335">
        <f t="shared" si="21"/>
        <v>0</v>
      </c>
      <c r="L737" s="335">
        <v>0</v>
      </c>
      <c r="M737" s="335"/>
      <c r="N737" s="335">
        <f t="shared" si="23"/>
        <v>0</v>
      </c>
      <c r="O737" s="335">
        <v>0</v>
      </c>
      <c r="P737" s="335"/>
    </row>
    <row r="738" spans="1:16">
      <c r="A738" s="177">
        <v>330</v>
      </c>
      <c r="B738" s="326">
        <v>200</v>
      </c>
      <c r="C738" s="326">
        <v>200</v>
      </c>
      <c r="D738" s="326">
        <v>600</v>
      </c>
      <c r="E738" s="326">
        <v>5</v>
      </c>
      <c r="F738" s="326">
        <v>0</v>
      </c>
      <c r="G738" s="347" t="s">
        <v>2940</v>
      </c>
      <c r="H738" s="330" t="s">
        <v>1116</v>
      </c>
      <c r="I738" s="326"/>
      <c r="J738" s="326"/>
      <c r="K738" s="334">
        <f t="shared" si="21"/>
        <v>0</v>
      </c>
      <c r="L738" s="334">
        <v>0</v>
      </c>
      <c r="M738" s="334"/>
      <c r="N738" s="334">
        <f t="shared" si="23"/>
        <v>0</v>
      </c>
      <c r="O738" s="334">
        <v>0</v>
      </c>
      <c r="P738" s="334"/>
    </row>
    <row r="739" spans="1:16">
      <c r="A739" s="177">
        <v>330</v>
      </c>
      <c r="B739" s="326">
        <v>200</v>
      </c>
      <c r="C739" s="326">
        <v>200</v>
      </c>
      <c r="D739" s="326">
        <v>600</v>
      </c>
      <c r="E739" s="326">
        <v>10</v>
      </c>
      <c r="F739" s="326">
        <v>0</v>
      </c>
      <c r="G739" s="347" t="s">
        <v>2941</v>
      </c>
      <c r="H739" s="330" t="s">
        <v>1117</v>
      </c>
      <c r="I739" s="326"/>
      <c r="J739" s="326"/>
      <c r="K739" s="334">
        <f t="shared" si="21"/>
        <v>0</v>
      </c>
      <c r="L739" s="334">
        <v>0</v>
      </c>
      <c r="M739" s="334"/>
      <c r="N739" s="334">
        <f t="shared" si="23"/>
        <v>0</v>
      </c>
      <c r="O739" s="334">
        <v>0</v>
      </c>
      <c r="P739" s="334"/>
    </row>
    <row r="740" spans="1:16">
      <c r="A740" s="177">
        <v>330</v>
      </c>
      <c r="B740" s="326">
        <v>200</v>
      </c>
      <c r="C740" s="326">
        <v>200</v>
      </c>
      <c r="D740" s="326">
        <v>600</v>
      </c>
      <c r="E740" s="326">
        <v>15</v>
      </c>
      <c r="F740" s="326">
        <v>0</v>
      </c>
      <c r="G740" s="347" t="s">
        <v>2942</v>
      </c>
      <c r="H740" s="330" t="s">
        <v>1146</v>
      </c>
      <c r="I740" s="326"/>
      <c r="J740" s="326"/>
      <c r="K740" s="334">
        <f t="shared" si="21"/>
        <v>0</v>
      </c>
      <c r="L740" s="334">
        <v>0</v>
      </c>
      <c r="M740" s="334"/>
      <c r="N740" s="334">
        <f t="shared" si="23"/>
        <v>6.2</v>
      </c>
      <c r="O740" s="334">
        <v>6.2</v>
      </c>
      <c r="P740" s="334"/>
    </row>
    <row r="741" spans="1:16">
      <c r="A741" s="177">
        <v>330</v>
      </c>
      <c r="B741" s="326">
        <v>200</v>
      </c>
      <c r="C741" s="326">
        <v>200</v>
      </c>
      <c r="D741" s="326">
        <v>900</v>
      </c>
      <c r="E741" s="326">
        <v>0</v>
      </c>
      <c r="F741" s="326">
        <v>0</v>
      </c>
      <c r="G741" s="347" t="s">
        <v>2943</v>
      </c>
      <c r="H741" s="330" t="s">
        <v>1135</v>
      </c>
      <c r="I741" s="326"/>
      <c r="J741" s="326"/>
      <c r="K741" s="334">
        <f t="shared" si="21"/>
        <v>18326.39</v>
      </c>
      <c r="L741" s="334">
        <v>18326.39</v>
      </c>
      <c r="M741" s="334"/>
      <c r="N741" s="334">
        <f t="shared" si="23"/>
        <v>14167.47</v>
      </c>
      <c r="O741" s="334">
        <v>14167.47</v>
      </c>
      <c r="P741" s="334"/>
    </row>
    <row r="742" spans="1:16" ht="25.5">
      <c r="A742" s="177">
        <v>330</v>
      </c>
      <c r="B742" s="326">
        <v>200</v>
      </c>
      <c r="C742" s="326">
        <v>201</v>
      </c>
      <c r="D742" s="326">
        <v>0</v>
      </c>
      <c r="E742" s="326">
        <v>0</v>
      </c>
      <c r="F742" s="326">
        <v>0</v>
      </c>
      <c r="G742" s="347" t="s">
        <v>2320</v>
      </c>
      <c r="H742" s="331" t="s">
        <v>2321</v>
      </c>
      <c r="I742" s="326" t="s">
        <v>1186</v>
      </c>
      <c r="J742" s="326"/>
      <c r="K742" s="335">
        <f t="shared" si="21"/>
        <v>0</v>
      </c>
      <c r="L742" s="335">
        <v>0</v>
      </c>
      <c r="M742" s="335"/>
      <c r="N742" s="335">
        <f t="shared" si="23"/>
        <v>0</v>
      </c>
      <c r="O742" s="335">
        <v>0</v>
      </c>
      <c r="P742" s="335"/>
    </row>
    <row r="743" spans="1:16">
      <c r="A743" s="177">
        <v>330</v>
      </c>
      <c r="B743" s="326">
        <v>200</v>
      </c>
      <c r="C743" s="326">
        <v>201</v>
      </c>
      <c r="D743" s="326">
        <v>100</v>
      </c>
      <c r="E743" s="326">
        <v>0</v>
      </c>
      <c r="F743" s="326">
        <v>0</v>
      </c>
      <c r="G743" s="347" t="s">
        <v>2322</v>
      </c>
      <c r="H743" s="330" t="s">
        <v>1107</v>
      </c>
      <c r="I743" s="326"/>
      <c r="J743" s="326"/>
      <c r="K743" s="334">
        <f t="shared" si="21"/>
        <v>156652.60999999999</v>
      </c>
      <c r="L743" s="334">
        <v>156652.60999999999</v>
      </c>
      <c r="M743" s="334"/>
      <c r="N743" s="334">
        <f t="shared" si="23"/>
        <v>21578.71</v>
      </c>
      <c r="O743" s="334">
        <v>21578.71</v>
      </c>
      <c r="P743" s="334"/>
    </row>
    <row r="744" spans="1:16">
      <c r="A744" s="177">
        <v>330</v>
      </c>
      <c r="B744" s="326">
        <v>200</v>
      </c>
      <c r="C744" s="326">
        <v>201</v>
      </c>
      <c r="D744" s="326">
        <v>200</v>
      </c>
      <c r="E744" s="326">
        <v>0</v>
      </c>
      <c r="F744" s="326">
        <v>0</v>
      </c>
      <c r="G744" s="347" t="s">
        <v>2323</v>
      </c>
      <c r="H744" s="330" t="s">
        <v>1143</v>
      </c>
      <c r="I744" s="326"/>
      <c r="J744" s="326"/>
      <c r="K744" s="334">
        <f t="shared" si="21"/>
        <v>1908.66</v>
      </c>
      <c r="L744" s="334">
        <v>1908.66</v>
      </c>
      <c r="M744" s="334"/>
      <c r="N744" s="334">
        <f t="shared" si="23"/>
        <v>167.26</v>
      </c>
      <c r="O744" s="334">
        <v>167.26</v>
      </c>
      <c r="P744" s="334"/>
    </row>
    <row r="745" spans="1:16">
      <c r="A745" s="177">
        <v>330</v>
      </c>
      <c r="B745" s="326">
        <v>200</v>
      </c>
      <c r="C745" s="326">
        <v>201</v>
      </c>
      <c r="D745" s="326">
        <v>300</v>
      </c>
      <c r="E745" s="326">
        <v>0</v>
      </c>
      <c r="F745" s="326">
        <v>0</v>
      </c>
      <c r="G745" s="347" t="s">
        <v>2324</v>
      </c>
      <c r="H745" s="330" t="s">
        <v>1144</v>
      </c>
      <c r="I745" s="326"/>
      <c r="J745" s="326"/>
      <c r="K745" s="334">
        <f t="shared" si="21"/>
        <v>945.07</v>
      </c>
      <c r="L745" s="334">
        <v>945.07</v>
      </c>
      <c r="M745" s="334"/>
      <c r="N745" s="334">
        <f t="shared" si="23"/>
        <v>119.03</v>
      </c>
      <c r="O745" s="334">
        <v>119.03</v>
      </c>
      <c r="P745" s="334"/>
    </row>
    <row r="746" spans="1:16">
      <c r="A746" s="177">
        <v>330</v>
      </c>
      <c r="B746" s="326">
        <v>200</v>
      </c>
      <c r="C746" s="326">
        <v>201</v>
      </c>
      <c r="D746" s="326">
        <v>301</v>
      </c>
      <c r="E746" s="326">
        <v>0</v>
      </c>
      <c r="F746" s="326">
        <v>0</v>
      </c>
      <c r="G746" s="347" t="s">
        <v>2325</v>
      </c>
      <c r="H746" s="330" t="s">
        <v>2263</v>
      </c>
      <c r="I746" s="326"/>
      <c r="J746" s="326"/>
      <c r="K746" s="334">
        <f t="shared" si="21"/>
        <v>649.51</v>
      </c>
      <c r="L746" s="334">
        <v>649.51</v>
      </c>
      <c r="M746" s="334"/>
      <c r="N746" s="334">
        <f t="shared" si="23"/>
        <v>0</v>
      </c>
      <c r="O746" s="334">
        <v>0</v>
      </c>
      <c r="P746" s="334"/>
    </row>
    <row r="747" spans="1:16">
      <c r="A747" s="177">
        <v>330</v>
      </c>
      <c r="B747" s="326">
        <v>200</v>
      </c>
      <c r="C747" s="326">
        <v>201</v>
      </c>
      <c r="D747" s="326">
        <v>302</v>
      </c>
      <c r="E747" s="326">
        <v>0</v>
      </c>
      <c r="F747" s="326">
        <v>0</v>
      </c>
      <c r="G747" s="347" t="s">
        <v>2326</v>
      </c>
      <c r="H747" s="330" t="s">
        <v>2265</v>
      </c>
      <c r="I747" s="326"/>
      <c r="J747" s="326"/>
      <c r="K747" s="334">
        <f t="shared" si="21"/>
        <v>2098.23</v>
      </c>
      <c r="L747" s="334">
        <v>2098.23</v>
      </c>
      <c r="M747" s="334"/>
      <c r="N747" s="334">
        <f t="shared" si="23"/>
        <v>0</v>
      </c>
      <c r="O747" s="334">
        <v>0</v>
      </c>
      <c r="P747" s="334"/>
    </row>
    <row r="748" spans="1:16">
      <c r="A748" s="177">
        <v>330</v>
      </c>
      <c r="B748" s="326">
        <v>200</v>
      </c>
      <c r="C748" s="326">
        <v>201</v>
      </c>
      <c r="D748" s="326">
        <v>400</v>
      </c>
      <c r="E748" s="326">
        <v>0</v>
      </c>
      <c r="F748" s="326">
        <v>0</v>
      </c>
      <c r="G748" s="347" t="s">
        <v>2327</v>
      </c>
      <c r="H748" s="330" t="s">
        <v>1145</v>
      </c>
      <c r="I748" s="326"/>
      <c r="J748" s="326"/>
      <c r="K748" s="334">
        <f t="shared" si="21"/>
        <v>12998.83</v>
      </c>
      <c r="L748" s="334">
        <v>12998.83</v>
      </c>
      <c r="M748" s="334"/>
      <c r="N748" s="334">
        <f t="shared" si="23"/>
        <v>783.5</v>
      </c>
      <c r="O748" s="334">
        <v>783.5</v>
      </c>
      <c r="P748" s="334"/>
    </row>
    <row r="749" spans="1:16">
      <c r="A749" s="177">
        <v>330</v>
      </c>
      <c r="B749" s="326">
        <v>200</v>
      </c>
      <c r="C749" s="326">
        <v>201</v>
      </c>
      <c r="D749" s="326">
        <v>500</v>
      </c>
      <c r="E749" s="326">
        <v>0</v>
      </c>
      <c r="F749" s="326">
        <v>0</v>
      </c>
      <c r="G749" s="347" t="s">
        <v>2328</v>
      </c>
      <c r="H749" s="330" t="s">
        <v>1132</v>
      </c>
      <c r="I749" s="326"/>
      <c r="J749" s="326"/>
      <c r="K749" s="334">
        <f t="shared" si="21"/>
        <v>18141.54</v>
      </c>
      <c r="L749" s="334">
        <v>18141.54</v>
      </c>
      <c r="M749" s="334"/>
      <c r="N749" s="334">
        <f t="shared" si="23"/>
        <v>1607.68</v>
      </c>
      <c r="O749" s="334">
        <v>1607.68</v>
      </c>
      <c r="P749" s="334"/>
    </row>
    <row r="750" spans="1:16">
      <c r="A750" s="177">
        <v>330</v>
      </c>
      <c r="B750" s="326">
        <v>200</v>
      </c>
      <c r="C750" s="326">
        <v>201</v>
      </c>
      <c r="D750" s="326">
        <v>600</v>
      </c>
      <c r="E750" s="326">
        <v>0</v>
      </c>
      <c r="F750" s="326">
        <v>0</v>
      </c>
      <c r="G750" s="347" t="s">
        <v>2329</v>
      </c>
      <c r="H750" s="330" t="s">
        <v>1115</v>
      </c>
      <c r="I750" s="326"/>
      <c r="J750" s="326"/>
      <c r="K750" s="334">
        <f t="shared" si="21"/>
        <v>0</v>
      </c>
      <c r="L750" s="334">
        <v>0</v>
      </c>
      <c r="M750" s="334"/>
      <c r="N750" s="334">
        <f t="shared" si="23"/>
        <v>0</v>
      </c>
      <c r="O750" s="334">
        <v>0</v>
      </c>
      <c r="P750" s="334"/>
    </row>
    <row r="751" spans="1:16">
      <c r="A751" s="177">
        <v>330</v>
      </c>
      <c r="B751" s="326">
        <v>200</v>
      </c>
      <c r="C751" s="326">
        <v>201</v>
      </c>
      <c r="D751" s="326">
        <v>600</v>
      </c>
      <c r="E751" s="326">
        <v>5</v>
      </c>
      <c r="F751" s="326">
        <v>0</v>
      </c>
      <c r="G751" s="347" t="s">
        <v>2330</v>
      </c>
      <c r="H751" s="330" t="s">
        <v>1116</v>
      </c>
      <c r="I751" s="326"/>
      <c r="J751" s="326"/>
      <c r="K751" s="334">
        <f t="shared" si="21"/>
        <v>0</v>
      </c>
      <c r="L751" s="334">
        <v>0</v>
      </c>
      <c r="M751" s="334"/>
      <c r="N751" s="334">
        <f t="shared" si="23"/>
        <v>0</v>
      </c>
      <c r="O751" s="334">
        <v>0</v>
      </c>
      <c r="P751" s="334"/>
    </row>
    <row r="752" spans="1:16">
      <c r="A752" s="177">
        <v>330</v>
      </c>
      <c r="B752" s="326">
        <v>200</v>
      </c>
      <c r="C752" s="326">
        <v>201</v>
      </c>
      <c r="D752" s="326">
        <v>600</v>
      </c>
      <c r="E752" s="326">
        <v>10</v>
      </c>
      <c r="F752" s="326">
        <v>0</v>
      </c>
      <c r="G752" s="347" t="s">
        <v>2331</v>
      </c>
      <c r="H752" s="330" t="s">
        <v>1117</v>
      </c>
      <c r="I752" s="326"/>
      <c r="J752" s="326"/>
      <c r="K752" s="334">
        <f t="shared" si="21"/>
        <v>0</v>
      </c>
      <c r="L752" s="334">
        <v>0</v>
      </c>
      <c r="M752" s="334"/>
      <c r="N752" s="334">
        <f t="shared" si="23"/>
        <v>0</v>
      </c>
      <c r="O752" s="334">
        <v>0</v>
      </c>
      <c r="P752" s="334"/>
    </row>
    <row r="753" spans="1:16">
      <c r="A753" s="177">
        <v>330</v>
      </c>
      <c r="B753" s="326">
        <v>200</v>
      </c>
      <c r="C753" s="326">
        <v>201</v>
      </c>
      <c r="D753" s="326">
        <v>600</v>
      </c>
      <c r="E753" s="326">
        <v>15</v>
      </c>
      <c r="F753" s="326">
        <v>0</v>
      </c>
      <c r="G753" s="347" t="s">
        <v>2332</v>
      </c>
      <c r="H753" s="330" t="s">
        <v>1146</v>
      </c>
      <c r="I753" s="326"/>
      <c r="J753" s="326"/>
      <c r="K753" s="334">
        <f t="shared" si="21"/>
        <v>0</v>
      </c>
      <c r="L753" s="334">
        <v>0</v>
      </c>
      <c r="M753" s="334"/>
      <c r="N753" s="334">
        <f t="shared" si="23"/>
        <v>0</v>
      </c>
      <c r="O753" s="334">
        <v>0</v>
      </c>
      <c r="P753" s="334"/>
    </row>
    <row r="754" spans="1:16">
      <c r="A754" s="177">
        <v>330</v>
      </c>
      <c r="B754" s="326">
        <v>200</v>
      </c>
      <c r="C754" s="326">
        <v>201</v>
      </c>
      <c r="D754" s="326">
        <v>900</v>
      </c>
      <c r="E754" s="326">
        <v>0</v>
      </c>
      <c r="F754" s="326">
        <v>0</v>
      </c>
      <c r="G754" s="347" t="s">
        <v>2333</v>
      </c>
      <c r="H754" s="330" t="s">
        <v>1135</v>
      </c>
      <c r="I754" s="326"/>
      <c r="J754" s="326"/>
      <c r="K754" s="334">
        <f t="shared" si="21"/>
        <v>59911.47</v>
      </c>
      <c r="L754" s="334">
        <v>59911.47</v>
      </c>
      <c r="M754" s="334"/>
      <c r="N754" s="334">
        <f t="shared" si="23"/>
        <v>7573.49</v>
      </c>
      <c r="O754" s="334">
        <v>7573.49</v>
      </c>
      <c r="P754" s="334"/>
    </row>
    <row r="755" spans="1:16">
      <c r="A755" s="177">
        <v>330</v>
      </c>
      <c r="B755" s="326">
        <v>200</v>
      </c>
      <c r="C755" s="326">
        <v>300</v>
      </c>
      <c r="D755" s="326">
        <v>0</v>
      </c>
      <c r="E755" s="326">
        <v>0</v>
      </c>
      <c r="F755" s="326">
        <v>0</v>
      </c>
      <c r="G755" s="331" t="s">
        <v>2944</v>
      </c>
      <c r="H755" s="330" t="s">
        <v>1187</v>
      </c>
      <c r="I755" s="326" t="s">
        <v>1188</v>
      </c>
      <c r="J755" s="326"/>
      <c r="K755" s="334">
        <f t="shared" si="21"/>
        <v>0</v>
      </c>
      <c r="L755" s="334">
        <v>0</v>
      </c>
      <c r="M755" s="334"/>
      <c r="N755" s="334">
        <f t="shared" si="23"/>
        <v>0</v>
      </c>
      <c r="O755" s="334">
        <v>0</v>
      </c>
      <c r="P755" s="334"/>
    </row>
    <row r="756" spans="1:16" ht="25.5">
      <c r="A756" s="177">
        <v>330</v>
      </c>
      <c r="B756" s="326">
        <v>200</v>
      </c>
      <c r="C756" s="326">
        <v>400</v>
      </c>
      <c r="D756" s="326">
        <v>0</v>
      </c>
      <c r="E756" s="326">
        <v>0</v>
      </c>
      <c r="F756" s="326">
        <v>0</v>
      </c>
      <c r="G756" s="331" t="s">
        <v>3517</v>
      </c>
      <c r="H756" s="330" t="s">
        <v>3495</v>
      </c>
      <c r="I756" s="326" t="s">
        <v>1188</v>
      </c>
      <c r="J756" s="326"/>
      <c r="K756" s="334"/>
      <c r="L756" s="334"/>
      <c r="M756" s="334"/>
      <c r="N756" s="334">
        <f t="shared" si="23"/>
        <v>0</v>
      </c>
      <c r="O756" s="334"/>
      <c r="P756" s="334"/>
    </row>
    <row r="757" spans="1:16">
      <c r="A757" s="403">
        <v>335</v>
      </c>
      <c r="B757" s="404">
        <v>0</v>
      </c>
      <c r="C757" s="404">
        <v>0</v>
      </c>
      <c r="D757" s="404">
        <v>0</v>
      </c>
      <c r="E757" s="404">
        <v>0</v>
      </c>
      <c r="F757" s="404">
        <v>0</v>
      </c>
      <c r="G757" s="339">
        <v>335</v>
      </c>
      <c r="H757" s="339" t="s">
        <v>1189</v>
      </c>
      <c r="I757" s="55" t="s">
        <v>1190</v>
      </c>
      <c r="J757" s="55"/>
      <c r="K757" s="335">
        <f t="shared" si="21"/>
        <v>0</v>
      </c>
      <c r="L757" s="335">
        <v>0</v>
      </c>
      <c r="M757" s="335"/>
      <c r="N757" s="335">
        <f t="shared" si="23"/>
        <v>0</v>
      </c>
      <c r="O757" s="335">
        <v>0</v>
      </c>
      <c r="P757" s="335"/>
    </row>
    <row r="758" spans="1:16">
      <c r="A758" s="177">
        <v>335</v>
      </c>
      <c r="B758" s="326">
        <v>100</v>
      </c>
      <c r="C758" s="326">
        <v>0</v>
      </c>
      <c r="D758" s="326">
        <v>0</v>
      </c>
      <c r="E758" s="326">
        <v>0</v>
      </c>
      <c r="F758" s="326">
        <v>0</v>
      </c>
      <c r="G758" s="331" t="s">
        <v>2945</v>
      </c>
      <c r="H758" s="331" t="s">
        <v>1191</v>
      </c>
      <c r="I758" s="326" t="s">
        <v>1192</v>
      </c>
      <c r="J758" s="325"/>
      <c r="K758" s="335">
        <f t="shared" si="21"/>
        <v>0</v>
      </c>
      <c r="L758" s="335">
        <v>0</v>
      </c>
      <c r="M758" s="335"/>
      <c r="N758" s="335">
        <f t="shared" si="23"/>
        <v>0</v>
      </c>
      <c r="O758" s="335">
        <v>0</v>
      </c>
      <c r="P758" s="335"/>
    </row>
    <row r="759" spans="1:16" ht="25.5">
      <c r="A759" s="177">
        <v>335</v>
      </c>
      <c r="B759" s="326">
        <v>100</v>
      </c>
      <c r="C759" s="326">
        <v>100</v>
      </c>
      <c r="D759" s="326">
        <v>0</v>
      </c>
      <c r="E759" s="326">
        <v>0</v>
      </c>
      <c r="F759" s="326">
        <v>0</v>
      </c>
      <c r="G759" s="331" t="s">
        <v>2946</v>
      </c>
      <c r="H759" s="331" t="s">
        <v>1193</v>
      </c>
      <c r="I759" s="326" t="s">
        <v>1194</v>
      </c>
      <c r="J759" s="325"/>
      <c r="K759" s="335">
        <f t="shared" ref="K759:K822" si="24">+L759+M759</f>
        <v>0</v>
      </c>
      <c r="L759" s="335">
        <v>0</v>
      </c>
      <c r="M759" s="335"/>
      <c r="N759" s="335">
        <f t="shared" si="23"/>
        <v>0</v>
      </c>
      <c r="O759" s="335">
        <v>0</v>
      </c>
      <c r="P759" s="335"/>
    </row>
    <row r="760" spans="1:16">
      <c r="A760" s="177">
        <v>335</v>
      </c>
      <c r="B760" s="326">
        <v>100</v>
      </c>
      <c r="C760" s="326">
        <v>100</v>
      </c>
      <c r="D760" s="326">
        <v>100</v>
      </c>
      <c r="E760" s="326">
        <v>0</v>
      </c>
      <c r="F760" s="326">
        <v>0</v>
      </c>
      <c r="G760" s="347" t="s">
        <v>2947</v>
      </c>
      <c r="H760" s="330" t="s">
        <v>1107</v>
      </c>
      <c r="I760" s="326"/>
      <c r="J760" s="326"/>
      <c r="K760" s="334">
        <f t="shared" si="24"/>
        <v>341958.91</v>
      </c>
      <c r="L760" s="334">
        <v>341958.91</v>
      </c>
      <c r="M760" s="334"/>
      <c r="N760" s="334">
        <f t="shared" si="23"/>
        <v>336548.85</v>
      </c>
      <c r="O760" s="334">
        <v>336548.85</v>
      </c>
      <c r="P760" s="334"/>
    </row>
    <row r="761" spans="1:16">
      <c r="A761" s="177">
        <v>335</v>
      </c>
      <c r="B761" s="326">
        <v>100</v>
      </c>
      <c r="C761" s="326">
        <v>100</v>
      </c>
      <c r="D761" s="326">
        <v>200</v>
      </c>
      <c r="E761" s="326">
        <v>0</v>
      </c>
      <c r="F761" s="326">
        <v>0</v>
      </c>
      <c r="G761" s="347" t="s">
        <v>2948</v>
      </c>
      <c r="H761" s="330" t="s">
        <v>1108</v>
      </c>
      <c r="I761" s="326"/>
      <c r="J761" s="326"/>
      <c r="K761" s="334">
        <f t="shared" si="24"/>
        <v>223892.67</v>
      </c>
      <c r="L761" s="334">
        <v>223892.67</v>
      </c>
      <c r="M761" s="334"/>
      <c r="N761" s="334">
        <f t="shared" si="23"/>
        <v>211455.77</v>
      </c>
      <c r="O761" s="334">
        <v>211455.77</v>
      </c>
      <c r="P761" s="334"/>
    </row>
    <row r="762" spans="1:16">
      <c r="A762" s="177">
        <v>335</v>
      </c>
      <c r="B762" s="326">
        <v>100</v>
      </c>
      <c r="C762" s="326">
        <v>100</v>
      </c>
      <c r="D762" s="326">
        <v>300</v>
      </c>
      <c r="E762" s="326">
        <v>0</v>
      </c>
      <c r="F762" s="326">
        <v>0</v>
      </c>
      <c r="G762" s="347" t="s">
        <v>2949</v>
      </c>
      <c r="H762" s="330" t="s">
        <v>1131</v>
      </c>
      <c r="I762" s="326"/>
      <c r="J762" s="326"/>
      <c r="K762" s="334">
        <f t="shared" si="24"/>
        <v>43407.14</v>
      </c>
      <c r="L762" s="334">
        <v>43407.14</v>
      </c>
      <c r="M762" s="334"/>
      <c r="N762" s="334">
        <f t="shared" si="23"/>
        <v>49954.05</v>
      </c>
      <c r="O762" s="334">
        <v>49954.05</v>
      </c>
      <c r="P762" s="334"/>
    </row>
    <row r="763" spans="1:16">
      <c r="A763" s="177">
        <v>335</v>
      </c>
      <c r="B763" s="326">
        <v>100</v>
      </c>
      <c r="C763" s="326">
        <v>100</v>
      </c>
      <c r="D763" s="326">
        <v>400</v>
      </c>
      <c r="E763" s="326">
        <v>0</v>
      </c>
      <c r="F763" s="326">
        <v>0</v>
      </c>
      <c r="G763" s="347" t="s">
        <v>2950</v>
      </c>
      <c r="H763" s="330" t="s">
        <v>1132</v>
      </c>
      <c r="I763" s="326"/>
      <c r="J763" s="326"/>
      <c r="K763" s="334">
        <f t="shared" si="24"/>
        <v>1248.1500000000001</v>
      </c>
      <c r="L763" s="334">
        <v>1248.1500000000001</v>
      </c>
      <c r="M763" s="334"/>
      <c r="N763" s="334">
        <f t="shared" si="23"/>
        <v>1579.26</v>
      </c>
      <c r="O763" s="334">
        <v>1579.26</v>
      </c>
      <c r="P763" s="334"/>
    </row>
    <row r="764" spans="1:16">
      <c r="A764" s="177">
        <v>335</v>
      </c>
      <c r="B764" s="326">
        <v>100</v>
      </c>
      <c r="C764" s="326">
        <v>100</v>
      </c>
      <c r="D764" s="326">
        <v>500</v>
      </c>
      <c r="E764" s="326">
        <v>0</v>
      </c>
      <c r="F764" s="326">
        <v>0</v>
      </c>
      <c r="G764" s="348" t="s">
        <v>2951</v>
      </c>
      <c r="H764" s="331" t="s">
        <v>1115</v>
      </c>
      <c r="I764" s="326"/>
      <c r="J764" s="325"/>
      <c r="K764" s="335">
        <f t="shared" si="24"/>
        <v>0</v>
      </c>
      <c r="L764" s="335">
        <v>0</v>
      </c>
      <c r="M764" s="335"/>
      <c r="N764" s="335">
        <f t="shared" si="23"/>
        <v>0</v>
      </c>
      <c r="O764" s="335">
        <v>0</v>
      </c>
      <c r="P764" s="335"/>
    </row>
    <row r="765" spans="1:16">
      <c r="A765" s="177">
        <v>335</v>
      </c>
      <c r="B765" s="326">
        <v>100</v>
      </c>
      <c r="C765" s="326">
        <v>100</v>
      </c>
      <c r="D765" s="326">
        <v>500</v>
      </c>
      <c r="E765" s="326">
        <v>5</v>
      </c>
      <c r="F765" s="326">
        <v>0</v>
      </c>
      <c r="G765" s="347" t="s">
        <v>2952</v>
      </c>
      <c r="H765" s="330" t="s">
        <v>1116</v>
      </c>
      <c r="I765" s="326"/>
      <c r="J765" s="326"/>
      <c r="K765" s="334">
        <f t="shared" si="24"/>
        <v>0</v>
      </c>
      <c r="L765" s="334">
        <v>0</v>
      </c>
      <c r="M765" s="334"/>
      <c r="N765" s="334">
        <f t="shared" si="23"/>
        <v>0</v>
      </c>
      <c r="O765" s="334">
        <v>0</v>
      </c>
      <c r="P765" s="334"/>
    </row>
    <row r="766" spans="1:16">
      <c r="A766" s="177">
        <v>335</v>
      </c>
      <c r="B766" s="326">
        <v>100</v>
      </c>
      <c r="C766" s="326">
        <v>100</v>
      </c>
      <c r="D766" s="326">
        <v>500</v>
      </c>
      <c r="E766" s="326">
        <v>10</v>
      </c>
      <c r="F766" s="326">
        <v>0</v>
      </c>
      <c r="G766" s="347" t="s">
        <v>2953</v>
      </c>
      <c r="H766" s="330" t="s">
        <v>1117</v>
      </c>
      <c r="I766" s="326"/>
      <c r="J766" s="326"/>
      <c r="K766" s="334">
        <f t="shared" si="24"/>
        <v>0</v>
      </c>
      <c r="L766" s="334">
        <v>0</v>
      </c>
      <c r="M766" s="334"/>
      <c r="N766" s="334">
        <f t="shared" si="23"/>
        <v>0</v>
      </c>
      <c r="O766" s="334">
        <v>0</v>
      </c>
      <c r="P766" s="334"/>
    </row>
    <row r="767" spans="1:16" ht="25.5">
      <c r="A767" s="177">
        <v>335</v>
      </c>
      <c r="B767" s="326">
        <v>100</v>
      </c>
      <c r="C767" s="326">
        <v>100</v>
      </c>
      <c r="D767" s="326">
        <v>500</v>
      </c>
      <c r="E767" s="326">
        <v>15</v>
      </c>
      <c r="F767" s="326">
        <v>0</v>
      </c>
      <c r="G767" s="347" t="s">
        <v>2954</v>
      </c>
      <c r="H767" s="330" t="s">
        <v>1195</v>
      </c>
      <c r="I767" s="326"/>
      <c r="J767" s="326"/>
      <c r="K767" s="334">
        <f t="shared" si="24"/>
        <v>845.8</v>
      </c>
      <c r="L767" s="334">
        <v>845.8</v>
      </c>
      <c r="M767" s="334"/>
      <c r="N767" s="334">
        <f t="shared" si="23"/>
        <v>0</v>
      </c>
      <c r="O767" s="334">
        <v>0</v>
      </c>
      <c r="P767" s="334"/>
    </row>
    <row r="768" spans="1:16">
      <c r="A768" s="177">
        <v>335</v>
      </c>
      <c r="B768" s="326">
        <v>100</v>
      </c>
      <c r="C768" s="326">
        <v>100</v>
      </c>
      <c r="D768" s="326">
        <v>900</v>
      </c>
      <c r="E768" s="326">
        <v>0</v>
      </c>
      <c r="F768" s="326">
        <v>0</v>
      </c>
      <c r="G768" s="347" t="s">
        <v>2955</v>
      </c>
      <c r="H768" s="330" t="s">
        <v>1135</v>
      </c>
      <c r="I768" s="326"/>
      <c r="J768" s="326"/>
      <c r="K768" s="334">
        <f t="shared" si="24"/>
        <v>221253.31</v>
      </c>
      <c r="L768" s="334">
        <v>221253.31</v>
      </c>
      <c r="M768" s="334"/>
      <c r="N768" s="334">
        <f t="shared" si="23"/>
        <v>170819.36</v>
      </c>
      <c r="O768" s="334">
        <v>170819.36</v>
      </c>
      <c r="P768" s="334"/>
    </row>
    <row r="769" spans="1:16" ht="25.5">
      <c r="A769" s="177">
        <v>335</v>
      </c>
      <c r="B769" s="326">
        <v>100</v>
      </c>
      <c r="C769" s="326">
        <v>200</v>
      </c>
      <c r="D769" s="326">
        <v>0</v>
      </c>
      <c r="E769" s="326">
        <v>0</v>
      </c>
      <c r="F769" s="326">
        <v>0</v>
      </c>
      <c r="G769" s="331" t="s">
        <v>2956</v>
      </c>
      <c r="H769" s="331" t="s">
        <v>1196</v>
      </c>
      <c r="I769" s="326" t="s">
        <v>1197</v>
      </c>
      <c r="J769" s="325"/>
      <c r="K769" s="335">
        <f t="shared" si="24"/>
        <v>0</v>
      </c>
      <c r="L769" s="335">
        <v>0</v>
      </c>
      <c r="M769" s="335"/>
      <c r="N769" s="335">
        <f t="shared" si="23"/>
        <v>0</v>
      </c>
      <c r="O769" s="335">
        <v>0</v>
      </c>
      <c r="P769" s="335"/>
    </row>
    <row r="770" spans="1:16">
      <c r="A770" s="177">
        <v>335</v>
      </c>
      <c r="B770" s="326">
        <v>100</v>
      </c>
      <c r="C770" s="326">
        <v>200</v>
      </c>
      <c r="D770" s="326">
        <v>100</v>
      </c>
      <c r="E770" s="326">
        <v>0</v>
      </c>
      <c r="F770" s="326">
        <v>0</v>
      </c>
      <c r="G770" s="347" t="s">
        <v>2957</v>
      </c>
      <c r="H770" s="330" t="s">
        <v>1107</v>
      </c>
      <c r="I770" s="326"/>
      <c r="J770" s="326"/>
      <c r="K770" s="334">
        <f t="shared" si="24"/>
        <v>0</v>
      </c>
      <c r="L770" s="334">
        <v>0</v>
      </c>
      <c r="M770" s="334"/>
      <c r="N770" s="334">
        <f t="shared" si="23"/>
        <v>0</v>
      </c>
      <c r="O770" s="334">
        <v>0</v>
      </c>
      <c r="P770" s="334"/>
    </row>
    <row r="771" spans="1:16">
      <c r="A771" s="177">
        <v>335</v>
      </c>
      <c r="B771" s="326">
        <v>100</v>
      </c>
      <c r="C771" s="326">
        <v>200</v>
      </c>
      <c r="D771" s="326">
        <v>200</v>
      </c>
      <c r="E771" s="326">
        <v>0</v>
      </c>
      <c r="F771" s="326">
        <v>0</v>
      </c>
      <c r="G771" s="347" t="s">
        <v>2958</v>
      </c>
      <c r="H771" s="330" t="s">
        <v>1108</v>
      </c>
      <c r="I771" s="326"/>
      <c r="J771" s="326"/>
      <c r="K771" s="334">
        <f t="shared" si="24"/>
        <v>0</v>
      </c>
      <c r="L771" s="334">
        <v>0</v>
      </c>
      <c r="M771" s="334"/>
      <c r="N771" s="334">
        <f t="shared" si="23"/>
        <v>0</v>
      </c>
      <c r="O771" s="334">
        <v>0</v>
      </c>
      <c r="P771" s="334"/>
    </row>
    <row r="772" spans="1:16">
      <c r="A772" s="177">
        <v>335</v>
      </c>
      <c r="B772" s="326">
        <v>100</v>
      </c>
      <c r="C772" s="326">
        <v>200</v>
      </c>
      <c r="D772" s="326">
        <v>300</v>
      </c>
      <c r="E772" s="326">
        <v>0</v>
      </c>
      <c r="F772" s="326">
        <v>0</v>
      </c>
      <c r="G772" s="347" t="s">
        <v>2959</v>
      </c>
      <c r="H772" s="330" t="s">
        <v>1131</v>
      </c>
      <c r="I772" s="326"/>
      <c r="J772" s="326"/>
      <c r="K772" s="334">
        <f t="shared" si="24"/>
        <v>0</v>
      </c>
      <c r="L772" s="334">
        <v>0</v>
      </c>
      <c r="M772" s="334"/>
      <c r="N772" s="334">
        <f t="shared" si="23"/>
        <v>0</v>
      </c>
      <c r="O772" s="334">
        <v>0</v>
      </c>
      <c r="P772" s="334"/>
    </row>
    <row r="773" spans="1:16">
      <c r="A773" s="177">
        <v>335</v>
      </c>
      <c r="B773" s="326">
        <v>100</v>
      </c>
      <c r="C773" s="326">
        <v>200</v>
      </c>
      <c r="D773" s="326">
        <v>400</v>
      </c>
      <c r="E773" s="326">
        <v>0</v>
      </c>
      <c r="F773" s="326">
        <v>0</v>
      </c>
      <c r="G773" s="347" t="s">
        <v>2960</v>
      </c>
      <c r="H773" s="330" t="s">
        <v>1132</v>
      </c>
      <c r="I773" s="326"/>
      <c r="J773" s="326"/>
      <c r="K773" s="334">
        <f t="shared" si="24"/>
        <v>0</v>
      </c>
      <c r="L773" s="334">
        <v>0</v>
      </c>
      <c r="M773" s="334"/>
      <c r="N773" s="334">
        <f t="shared" si="23"/>
        <v>0</v>
      </c>
      <c r="O773" s="334">
        <v>0</v>
      </c>
      <c r="P773" s="334"/>
    </row>
    <row r="774" spans="1:16">
      <c r="A774" s="177">
        <v>335</v>
      </c>
      <c r="B774" s="326">
        <v>100</v>
      </c>
      <c r="C774" s="326">
        <v>200</v>
      </c>
      <c r="D774" s="326">
        <v>500</v>
      </c>
      <c r="E774" s="326">
        <v>0</v>
      </c>
      <c r="F774" s="326">
        <v>0</v>
      </c>
      <c r="G774" s="348" t="s">
        <v>2961</v>
      </c>
      <c r="H774" s="331" t="s">
        <v>1115</v>
      </c>
      <c r="I774" s="326"/>
      <c r="J774" s="325"/>
      <c r="K774" s="335">
        <f t="shared" si="24"/>
        <v>0</v>
      </c>
      <c r="L774" s="335">
        <v>0</v>
      </c>
      <c r="M774" s="335"/>
      <c r="N774" s="335">
        <f t="shared" si="23"/>
        <v>0</v>
      </c>
      <c r="O774" s="335">
        <v>0</v>
      </c>
      <c r="P774" s="335"/>
    </row>
    <row r="775" spans="1:16">
      <c r="A775" s="177">
        <v>335</v>
      </c>
      <c r="B775" s="326">
        <v>100</v>
      </c>
      <c r="C775" s="326">
        <v>200</v>
      </c>
      <c r="D775" s="326">
        <v>500</v>
      </c>
      <c r="E775" s="326">
        <v>5</v>
      </c>
      <c r="F775" s="326">
        <v>0</v>
      </c>
      <c r="G775" s="347" t="s">
        <v>2962</v>
      </c>
      <c r="H775" s="330" t="s">
        <v>1116</v>
      </c>
      <c r="I775" s="326"/>
      <c r="J775" s="326"/>
      <c r="K775" s="334">
        <f t="shared" si="24"/>
        <v>0</v>
      </c>
      <c r="L775" s="334">
        <v>0</v>
      </c>
      <c r="M775" s="334"/>
      <c r="N775" s="334">
        <f t="shared" ref="N775:N838" si="25">+O775+P775</f>
        <v>0</v>
      </c>
      <c r="O775" s="334">
        <v>0</v>
      </c>
      <c r="P775" s="334"/>
    </row>
    <row r="776" spans="1:16">
      <c r="A776" s="177">
        <v>335</v>
      </c>
      <c r="B776" s="326">
        <v>100</v>
      </c>
      <c r="C776" s="326">
        <v>200</v>
      </c>
      <c r="D776" s="326">
        <v>500</v>
      </c>
      <c r="E776" s="326">
        <v>10</v>
      </c>
      <c r="F776" s="326">
        <v>0</v>
      </c>
      <c r="G776" s="347" t="s">
        <v>2963</v>
      </c>
      <c r="H776" s="330" t="s">
        <v>1117</v>
      </c>
      <c r="I776" s="326"/>
      <c r="J776" s="326"/>
      <c r="K776" s="334">
        <f t="shared" si="24"/>
        <v>0</v>
      </c>
      <c r="L776" s="334">
        <v>0</v>
      </c>
      <c r="M776" s="334"/>
      <c r="N776" s="334">
        <f t="shared" si="25"/>
        <v>0</v>
      </c>
      <c r="O776" s="334">
        <v>0</v>
      </c>
      <c r="P776" s="334"/>
    </row>
    <row r="777" spans="1:16" ht="25.5">
      <c r="A777" s="177">
        <v>335</v>
      </c>
      <c r="B777" s="326">
        <v>100</v>
      </c>
      <c r="C777" s="326">
        <v>200</v>
      </c>
      <c r="D777" s="326">
        <v>500</v>
      </c>
      <c r="E777" s="326">
        <v>15</v>
      </c>
      <c r="F777" s="326">
        <v>0</v>
      </c>
      <c r="G777" s="347" t="s">
        <v>2964</v>
      </c>
      <c r="H777" s="330" t="s">
        <v>1195</v>
      </c>
      <c r="I777" s="326"/>
      <c r="J777" s="326"/>
      <c r="K777" s="334">
        <f t="shared" si="24"/>
        <v>0</v>
      </c>
      <c r="L777" s="334">
        <v>0</v>
      </c>
      <c r="M777" s="334"/>
      <c r="N777" s="334">
        <f t="shared" si="25"/>
        <v>0</v>
      </c>
      <c r="O777" s="334">
        <v>0</v>
      </c>
      <c r="P777" s="334"/>
    </row>
    <row r="778" spans="1:16">
      <c r="A778" s="177">
        <v>335</v>
      </c>
      <c r="B778" s="326">
        <v>100</v>
      </c>
      <c r="C778" s="326">
        <v>200</v>
      </c>
      <c r="D778" s="326">
        <v>900</v>
      </c>
      <c r="E778" s="326">
        <v>0</v>
      </c>
      <c r="F778" s="326">
        <v>0</v>
      </c>
      <c r="G778" s="347" t="s">
        <v>2965</v>
      </c>
      <c r="H778" s="330" t="s">
        <v>1135</v>
      </c>
      <c r="I778" s="326"/>
      <c r="J778" s="326"/>
      <c r="K778" s="334">
        <f t="shared" si="24"/>
        <v>0</v>
      </c>
      <c r="L778" s="334">
        <v>0</v>
      </c>
      <c r="M778" s="334"/>
      <c r="N778" s="334">
        <f t="shared" si="25"/>
        <v>0</v>
      </c>
      <c r="O778" s="334">
        <v>0</v>
      </c>
      <c r="P778" s="334"/>
    </row>
    <row r="779" spans="1:16" ht="25.5">
      <c r="A779" s="177">
        <v>335</v>
      </c>
      <c r="B779" s="326">
        <v>100</v>
      </c>
      <c r="C779" s="326">
        <v>300</v>
      </c>
      <c r="D779" s="326">
        <v>0</v>
      </c>
      <c r="E779" s="326">
        <v>0</v>
      </c>
      <c r="F779" s="326">
        <v>0</v>
      </c>
      <c r="G779" s="331" t="s">
        <v>2966</v>
      </c>
      <c r="H779" s="330" t="s">
        <v>1198</v>
      </c>
      <c r="I779" s="326" t="s">
        <v>1199</v>
      </c>
      <c r="J779" s="326"/>
      <c r="K779" s="334">
        <f t="shared" si="24"/>
        <v>0</v>
      </c>
      <c r="L779" s="334">
        <v>0</v>
      </c>
      <c r="M779" s="334"/>
      <c r="N779" s="334">
        <f t="shared" si="25"/>
        <v>0</v>
      </c>
      <c r="O779" s="334">
        <v>0</v>
      </c>
      <c r="P779" s="334"/>
    </row>
    <row r="780" spans="1:16">
      <c r="A780" s="177">
        <v>335</v>
      </c>
      <c r="B780" s="326">
        <v>200</v>
      </c>
      <c r="C780" s="326">
        <v>0</v>
      </c>
      <c r="D780" s="326">
        <v>0</v>
      </c>
      <c r="E780" s="326">
        <v>0</v>
      </c>
      <c r="F780" s="326">
        <v>0</v>
      </c>
      <c r="G780" s="331" t="s">
        <v>2967</v>
      </c>
      <c r="H780" s="331" t="s">
        <v>1200</v>
      </c>
      <c r="I780" s="326" t="s">
        <v>1201</v>
      </c>
      <c r="J780" s="325"/>
      <c r="K780" s="335">
        <f t="shared" si="24"/>
        <v>0</v>
      </c>
      <c r="L780" s="335">
        <v>0</v>
      </c>
      <c r="M780" s="335"/>
      <c r="N780" s="335">
        <f t="shared" si="25"/>
        <v>0</v>
      </c>
      <c r="O780" s="335">
        <v>0</v>
      </c>
      <c r="P780" s="335"/>
    </row>
    <row r="781" spans="1:16" ht="25.5">
      <c r="A781" s="177">
        <v>335</v>
      </c>
      <c r="B781" s="326">
        <v>200</v>
      </c>
      <c r="C781" s="326">
        <v>100</v>
      </c>
      <c r="D781" s="326">
        <v>0</v>
      </c>
      <c r="E781" s="326">
        <v>0</v>
      </c>
      <c r="F781" s="326">
        <v>0</v>
      </c>
      <c r="G781" s="331" t="s">
        <v>2968</v>
      </c>
      <c r="H781" s="331" t="s">
        <v>1202</v>
      </c>
      <c r="I781" s="326" t="s">
        <v>1203</v>
      </c>
      <c r="J781" s="325"/>
      <c r="K781" s="335">
        <f t="shared" si="24"/>
        <v>0</v>
      </c>
      <c r="L781" s="335">
        <v>0</v>
      </c>
      <c r="M781" s="335"/>
      <c r="N781" s="335">
        <f t="shared" si="25"/>
        <v>0</v>
      </c>
      <c r="O781" s="335">
        <v>0</v>
      </c>
      <c r="P781" s="335"/>
    </row>
    <row r="782" spans="1:16">
      <c r="A782" s="177">
        <v>335</v>
      </c>
      <c r="B782" s="326">
        <v>200</v>
      </c>
      <c r="C782" s="326">
        <v>100</v>
      </c>
      <c r="D782" s="326">
        <v>100</v>
      </c>
      <c r="E782" s="326">
        <v>0</v>
      </c>
      <c r="F782" s="326">
        <v>0</v>
      </c>
      <c r="G782" s="347" t="s">
        <v>2969</v>
      </c>
      <c r="H782" s="330" t="s">
        <v>1107</v>
      </c>
      <c r="I782" s="326"/>
      <c r="J782" s="326"/>
      <c r="K782" s="334">
        <f t="shared" si="24"/>
        <v>1752189.34</v>
      </c>
      <c r="L782" s="334">
        <v>1752189.34</v>
      </c>
      <c r="M782" s="334"/>
      <c r="N782" s="334">
        <f t="shared" si="25"/>
        <v>1460834.8</v>
      </c>
      <c r="O782" s="334">
        <v>1460834.8</v>
      </c>
      <c r="P782" s="334"/>
    </row>
    <row r="783" spans="1:16">
      <c r="A783" s="177">
        <v>335</v>
      </c>
      <c r="B783" s="326">
        <v>200</v>
      </c>
      <c r="C783" s="326">
        <v>100</v>
      </c>
      <c r="D783" s="326">
        <v>200</v>
      </c>
      <c r="E783" s="326">
        <v>0</v>
      </c>
      <c r="F783" s="326">
        <v>0</v>
      </c>
      <c r="G783" s="347" t="s">
        <v>2970</v>
      </c>
      <c r="H783" s="330" t="s">
        <v>1143</v>
      </c>
      <c r="I783" s="326"/>
      <c r="J783" s="326"/>
      <c r="K783" s="334">
        <f t="shared" si="24"/>
        <v>3184.01</v>
      </c>
      <c r="L783" s="334">
        <v>3184.01</v>
      </c>
      <c r="M783" s="334"/>
      <c r="N783" s="334">
        <f t="shared" si="25"/>
        <v>2503.6799999999998</v>
      </c>
      <c r="O783" s="334">
        <v>2503.6799999999998</v>
      </c>
      <c r="P783" s="334"/>
    </row>
    <row r="784" spans="1:16">
      <c r="A784" s="177">
        <v>335</v>
      </c>
      <c r="B784" s="326">
        <v>200</v>
      </c>
      <c r="C784" s="326">
        <v>100</v>
      </c>
      <c r="D784" s="326">
        <v>300</v>
      </c>
      <c r="E784" s="326">
        <v>0</v>
      </c>
      <c r="F784" s="326">
        <v>0</v>
      </c>
      <c r="G784" s="347" t="s">
        <v>2971</v>
      </c>
      <c r="H784" s="330" t="s">
        <v>1144</v>
      </c>
      <c r="I784" s="326"/>
      <c r="J784" s="326"/>
      <c r="K784" s="334">
        <f t="shared" si="24"/>
        <v>42621.15</v>
      </c>
      <c r="L784" s="334">
        <v>42621.15</v>
      </c>
      <c r="M784" s="334"/>
      <c r="N784" s="334">
        <f t="shared" si="25"/>
        <v>34678.11</v>
      </c>
      <c r="O784" s="334">
        <v>34678.11</v>
      </c>
      <c r="P784" s="334"/>
    </row>
    <row r="785" spans="1:16">
      <c r="A785" s="177">
        <v>335</v>
      </c>
      <c r="B785" s="326">
        <v>200</v>
      </c>
      <c r="C785" s="326">
        <v>100</v>
      </c>
      <c r="D785" s="326">
        <v>301</v>
      </c>
      <c r="E785" s="326">
        <v>0</v>
      </c>
      <c r="F785" s="326">
        <v>0</v>
      </c>
      <c r="G785" s="347" t="s">
        <v>2334</v>
      </c>
      <c r="H785" s="330" t="s">
        <v>2263</v>
      </c>
      <c r="I785" s="326"/>
      <c r="J785" s="326"/>
      <c r="K785" s="334">
        <f t="shared" si="24"/>
        <v>73281.009999999995</v>
      </c>
      <c r="L785" s="334">
        <v>73281.009999999995</v>
      </c>
      <c r="M785" s="334"/>
      <c r="N785" s="334">
        <f t="shared" si="25"/>
        <v>71733.56</v>
      </c>
      <c r="O785" s="334">
        <v>71733.56</v>
      </c>
      <c r="P785" s="334"/>
    </row>
    <row r="786" spans="1:16">
      <c r="A786" s="177">
        <v>335</v>
      </c>
      <c r="B786" s="326">
        <v>200</v>
      </c>
      <c r="C786" s="326">
        <v>100</v>
      </c>
      <c r="D786" s="326">
        <v>302</v>
      </c>
      <c r="E786" s="326">
        <v>0</v>
      </c>
      <c r="F786" s="326">
        <v>0</v>
      </c>
      <c r="G786" s="347" t="s">
        <v>2335</v>
      </c>
      <c r="H786" s="330" t="s">
        <v>2265</v>
      </c>
      <c r="I786" s="326"/>
      <c r="J786" s="326"/>
      <c r="K786" s="334">
        <f t="shared" si="24"/>
        <v>107760.85</v>
      </c>
      <c r="L786" s="334">
        <v>107760.85</v>
      </c>
      <c r="M786" s="334"/>
      <c r="N786" s="334">
        <f t="shared" si="25"/>
        <v>96295.51</v>
      </c>
      <c r="O786" s="334">
        <v>96295.51</v>
      </c>
      <c r="P786" s="334"/>
    </row>
    <row r="787" spans="1:16">
      <c r="A787" s="177">
        <v>335</v>
      </c>
      <c r="B787" s="326">
        <v>200</v>
      </c>
      <c r="C787" s="326">
        <v>100</v>
      </c>
      <c r="D787" s="326">
        <v>400</v>
      </c>
      <c r="E787" s="326">
        <v>0</v>
      </c>
      <c r="F787" s="326">
        <v>0</v>
      </c>
      <c r="G787" s="347" t="s">
        <v>2972</v>
      </c>
      <c r="H787" s="330" t="s">
        <v>1145</v>
      </c>
      <c r="I787" s="326"/>
      <c r="J787" s="326"/>
      <c r="K787" s="334">
        <f t="shared" si="24"/>
        <v>117010.53</v>
      </c>
      <c r="L787" s="334">
        <v>117010.53</v>
      </c>
      <c r="M787" s="334"/>
      <c r="N787" s="334">
        <f t="shared" si="25"/>
        <v>80691.95</v>
      </c>
      <c r="O787" s="334">
        <v>80691.95</v>
      </c>
      <c r="P787" s="334"/>
    </row>
    <row r="788" spans="1:16">
      <c r="A788" s="177">
        <v>335</v>
      </c>
      <c r="B788" s="326">
        <v>200</v>
      </c>
      <c r="C788" s="326">
        <v>100</v>
      </c>
      <c r="D788" s="326">
        <v>500</v>
      </c>
      <c r="E788" s="326">
        <v>0</v>
      </c>
      <c r="F788" s="326">
        <v>0</v>
      </c>
      <c r="G788" s="347" t="s">
        <v>2973</v>
      </c>
      <c r="H788" s="330" t="s">
        <v>1132</v>
      </c>
      <c r="I788" s="326"/>
      <c r="J788" s="326"/>
      <c r="K788" s="334">
        <f t="shared" si="24"/>
        <v>16321.85</v>
      </c>
      <c r="L788" s="334">
        <v>16321.85</v>
      </c>
      <c r="M788" s="334"/>
      <c r="N788" s="334">
        <f t="shared" si="25"/>
        <v>3014.43</v>
      </c>
      <c r="O788" s="334">
        <v>3014.43</v>
      </c>
      <c r="P788" s="334"/>
    </row>
    <row r="789" spans="1:16">
      <c r="A789" s="177">
        <v>335</v>
      </c>
      <c r="B789" s="326">
        <v>200</v>
      </c>
      <c r="C789" s="326">
        <v>100</v>
      </c>
      <c r="D789" s="326">
        <v>600</v>
      </c>
      <c r="E789" s="326">
        <v>0</v>
      </c>
      <c r="F789" s="326">
        <v>0</v>
      </c>
      <c r="G789" s="348" t="s">
        <v>2974</v>
      </c>
      <c r="H789" s="331" t="s">
        <v>1115</v>
      </c>
      <c r="I789" s="326"/>
      <c r="J789" s="325"/>
      <c r="K789" s="335">
        <f t="shared" si="24"/>
        <v>0</v>
      </c>
      <c r="L789" s="335">
        <v>0</v>
      </c>
      <c r="M789" s="335"/>
      <c r="N789" s="335">
        <f t="shared" si="25"/>
        <v>0</v>
      </c>
      <c r="O789" s="335">
        <v>0</v>
      </c>
      <c r="P789" s="335"/>
    </row>
    <row r="790" spans="1:16">
      <c r="A790" s="177">
        <v>335</v>
      </c>
      <c r="B790" s="326">
        <v>200</v>
      </c>
      <c r="C790" s="326">
        <v>100</v>
      </c>
      <c r="D790" s="326">
        <v>600</v>
      </c>
      <c r="E790" s="326">
        <v>5</v>
      </c>
      <c r="F790" s="326">
        <v>0</v>
      </c>
      <c r="G790" s="347" t="s">
        <v>2975</v>
      </c>
      <c r="H790" s="330" t="s">
        <v>1116</v>
      </c>
      <c r="I790" s="326"/>
      <c r="J790" s="326"/>
      <c r="K790" s="334">
        <f t="shared" si="24"/>
        <v>0</v>
      </c>
      <c r="L790" s="334">
        <v>0</v>
      </c>
      <c r="M790" s="334"/>
      <c r="N790" s="334">
        <f t="shared" si="25"/>
        <v>0</v>
      </c>
      <c r="O790" s="334">
        <v>0</v>
      </c>
      <c r="P790" s="334"/>
    </row>
    <row r="791" spans="1:16">
      <c r="A791" s="177">
        <v>335</v>
      </c>
      <c r="B791" s="326">
        <v>200</v>
      </c>
      <c r="C791" s="326">
        <v>100</v>
      </c>
      <c r="D791" s="326">
        <v>600</v>
      </c>
      <c r="E791" s="326">
        <v>10</v>
      </c>
      <c r="F791" s="326">
        <v>0</v>
      </c>
      <c r="G791" s="347" t="s">
        <v>2976</v>
      </c>
      <c r="H791" s="330" t="s">
        <v>1117</v>
      </c>
      <c r="I791" s="326"/>
      <c r="J791" s="326"/>
      <c r="K791" s="334">
        <f t="shared" si="24"/>
        <v>0</v>
      </c>
      <c r="L791" s="334">
        <v>0</v>
      </c>
      <c r="M791" s="334"/>
      <c r="N791" s="334">
        <f t="shared" si="25"/>
        <v>0</v>
      </c>
      <c r="O791" s="334">
        <v>0</v>
      </c>
      <c r="P791" s="334"/>
    </row>
    <row r="792" spans="1:16">
      <c r="A792" s="177">
        <v>335</v>
      </c>
      <c r="B792" s="326">
        <v>200</v>
      </c>
      <c r="C792" s="326">
        <v>100</v>
      </c>
      <c r="D792" s="326">
        <v>600</v>
      </c>
      <c r="E792" s="326">
        <v>15</v>
      </c>
      <c r="F792" s="326">
        <v>0</v>
      </c>
      <c r="G792" s="347" t="s">
        <v>2977</v>
      </c>
      <c r="H792" s="330" t="s">
        <v>1146</v>
      </c>
      <c r="I792" s="326"/>
      <c r="J792" s="326"/>
      <c r="K792" s="334">
        <f t="shared" si="24"/>
        <v>64.2</v>
      </c>
      <c r="L792" s="334">
        <v>64.2</v>
      </c>
      <c r="M792" s="334"/>
      <c r="N792" s="334">
        <f t="shared" si="25"/>
        <v>0</v>
      </c>
      <c r="O792" s="334">
        <v>0</v>
      </c>
      <c r="P792" s="334"/>
    </row>
    <row r="793" spans="1:16">
      <c r="A793" s="177">
        <v>335</v>
      </c>
      <c r="B793" s="326">
        <v>200</v>
      </c>
      <c r="C793" s="326">
        <v>100</v>
      </c>
      <c r="D793" s="326">
        <v>900</v>
      </c>
      <c r="E793" s="326">
        <v>0</v>
      </c>
      <c r="F793" s="326">
        <v>0</v>
      </c>
      <c r="G793" s="347" t="s">
        <v>2978</v>
      </c>
      <c r="H793" s="330" t="s">
        <v>1135</v>
      </c>
      <c r="I793" s="326"/>
      <c r="J793" s="326"/>
      <c r="K793" s="334">
        <f t="shared" si="24"/>
        <v>631791.03</v>
      </c>
      <c r="L793" s="334">
        <v>631791.03</v>
      </c>
      <c r="M793" s="334"/>
      <c r="N793" s="334">
        <f t="shared" si="25"/>
        <v>518805.42</v>
      </c>
      <c r="O793" s="334">
        <v>518805.42</v>
      </c>
      <c r="P793" s="334"/>
    </row>
    <row r="794" spans="1:16" ht="25.5">
      <c r="A794" s="177">
        <v>335</v>
      </c>
      <c r="B794" s="326">
        <v>200</v>
      </c>
      <c r="C794" s="326">
        <v>200</v>
      </c>
      <c r="D794" s="326">
        <v>0</v>
      </c>
      <c r="E794" s="326">
        <v>0</v>
      </c>
      <c r="F794" s="326">
        <v>0</v>
      </c>
      <c r="G794" s="331" t="s">
        <v>2979</v>
      </c>
      <c r="H794" s="331" t="s">
        <v>1204</v>
      </c>
      <c r="I794" s="326" t="s">
        <v>1205</v>
      </c>
      <c r="J794" s="325"/>
      <c r="K794" s="335">
        <f t="shared" si="24"/>
        <v>0</v>
      </c>
      <c r="L794" s="335">
        <v>0</v>
      </c>
      <c r="M794" s="335"/>
      <c r="N794" s="335">
        <f t="shared" si="25"/>
        <v>0</v>
      </c>
      <c r="O794" s="335">
        <v>0</v>
      </c>
      <c r="P794" s="335"/>
    </row>
    <row r="795" spans="1:16">
      <c r="A795" s="177">
        <v>335</v>
      </c>
      <c r="B795" s="326">
        <v>200</v>
      </c>
      <c r="C795" s="326">
        <v>200</v>
      </c>
      <c r="D795" s="326">
        <v>100</v>
      </c>
      <c r="E795" s="326">
        <v>0</v>
      </c>
      <c r="F795" s="326">
        <v>0</v>
      </c>
      <c r="G795" s="347" t="s">
        <v>2980</v>
      </c>
      <c r="H795" s="330" t="s">
        <v>1107</v>
      </c>
      <c r="I795" s="326"/>
      <c r="J795" s="326"/>
      <c r="K795" s="334">
        <f t="shared" si="24"/>
        <v>28766.74</v>
      </c>
      <c r="L795" s="334">
        <v>28766.74</v>
      </c>
      <c r="M795" s="334"/>
      <c r="N795" s="334">
        <f t="shared" si="25"/>
        <v>321224.71999999997</v>
      </c>
      <c r="O795" s="334">
        <v>321224.71999999997</v>
      </c>
      <c r="P795" s="334"/>
    </row>
    <row r="796" spans="1:16">
      <c r="A796" s="177">
        <v>335</v>
      </c>
      <c r="B796" s="326">
        <v>200</v>
      </c>
      <c r="C796" s="326">
        <v>200</v>
      </c>
      <c r="D796" s="326">
        <v>200</v>
      </c>
      <c r="E796" s="326">
        <v>0</v>
      </c>
      <c r="F796" s="326">
        <v>0</v>
      </c>
      <c r="G796" s="347" t="s">
        <v>2981</v>
      </c>
      <c r="H796" s="330" t="s">
        <v>1143</v>
      </c>
      <c r="I796" s="326"/>
      <c r="J796" s="326"/>
      <c r="K796" s="334">
        <f t="shared" si="24"/>
        <v>0</v>
      </c>
      <c r="L796" s="334">
        <v>0</v>
      </c>
      <c r="M796" s="334"/>
      <c r="N796" s="334">
        <f t="shared" si="25"/>
        <v>914.09</v>
      </c>
      <c r="O796" s="334">
        <v>914.09</v>
      </c>
      <c r="P796" s="334"/>
    </row>
    <row r="797" spans="1:16">
      <c r="A797" s="177">
        <v>335</v>
      </c>
      <c r="B797" s="326">
        <v>200</v>
      </c>
      <c r="C797" s="326">
        <v>200</v>
      </c>
      <c r="D797" s="326">
        <v>300</v>
      </c>
      <c r="E797" s="326">
        <v>0</v>
      </c>
      <c r="F797" s="326">
        <v>0</v>
      </c>
      <c r="G797" s="347" t="s">
        <v>2982</v>
      </c>
      <c r="H797" s="330" t="s">
        <v>1144</v>
      </c>
      <c r="I797" s="326"/>
      <c r="J797" s="326"/>
      <c r="K797" s="334">
        <f t="shared" si="24"/>
        <v>252.59</v>
      </c>
      <c r="L797" s="334">
        <v>252.59</v>
      </c>
      <c r="M797" s="334"/>
      <c r="N797" s="334">
        <f t="shared" si="25"/>
        <v>8851.4699999999993</v>
      </c>
      <c r="O797" s="334">
        <v>8851.4699999999993</v>
      </c>
      <c r="P797" s="334"/>
    </row>
    <row r="798" spans="1:16">
      <c r="A798" s="177">
        <v>335</v>
      </c>
      <c r="B798" s="326">
        <v>200</v>
      </c>
      <c r="C798" s="326">
        <v>200</v>
      </c>
      <c r="D798" s="326">
        <v>301</v>
      </c>
      <c r="E798" s="326">
        <v>0</v>
      </c>
      <c r="F798" s="326">
        <v>0</v>
      </c>
      <c r="G798" s="347" t="s">
        <v>2336</v>
      </c>
      <c r="H798" s="330" t="s">
        <v>2263</v>
      </c>
      <c r="I798" s="326"/>
      <c r="J798" s="326"/>
      <c r="K798" s="334">
        <f t="shared" si="24"/>
        <v>2229.67</v>
      </c>
      <c r="L798" s="334">
        <v>2229.67</v>
      </c>
      <c r="M798" s="334"/>
      <c r="N798" s="334">
        <f t="shared" si="25"/>
        <v>7205.9</v>
      </c>
      <c r="O798" s="334">
        <v>7205.9</v>
      </c>
      <c r="P798" s="334"/>
    </row>
    <row r="799" spans="1:16">
      <c r="A799" s="177">
        <v>335</v>
      </c>
      <c r="B799" s="326">
        <v>200</v>
      </c>
      <c r="C799" s="326">
        <v>200</v>
      </c>
      <c r="D799" s="326">
        <v>302</v>
      </c>
      <c r="E799" s="326">
        <v>0</v>
      </c>
      <c r="F799" s="326">
        <v>0</v>
      </c>
      <c r="G799" s="347" t="s">
        <v>2337</v>
      </c>
      <c r="H799" s="330" t="s">
        <v>2265</v>
      </c>
      <c r="I799" s="326"/>
      <c r="J799" s="326"/>
      <c r="K799" s="334">
        <f t="shared" si="24"/>
        <v>3884.3</v>
      </c>
      <c r="L799" s="334">
        <v>3884.3</v>
      </c>
      <c r="M799" s="334"/>
      <c r="N799" s="334">
        <f t="shared" si="25"/>
        <v>5945.04</v>
      </c>
      <c r="O799" s="334">
        <v>5945.04</v>
      </c>
      <c r="P799" s="334"/>
    </row>
    <row r="800" spans="1:16">
      <c r="A800" s="177">
        <v>335</v>
      </c>
      <c r="B800" s="326">
        <v>200</v>
      </c>
      <c r="C800" s="326">
        <v>200</v>
      </c>
      <c r="D800" s="326">
        <v>400</v>
      </c>
      <c r="E800" s="326">
        <v>0</v>
      </c>
      <c r="F800" s="326">
        <v>0</v>
      </c>
      <c r="G800" s="347" t="s">
        <v>2983</v>
      </c>
      <c r="H800" s="330" t="s">
        <v>1145</v>
      </c>
      <c r="I800" s="326"/>
      <c r="J800" s="326"/>
      <c r="K800" s="334">
        <f t="shared" si="24"/>
        <v>11497.66</v>
      </c>
      <c r="L800" s="334">
        <v>11497.66</v>
      </c>
      <c r="M800" s="334"/>
      <c r="N800" s="334">
        <f t="shared" si="25"/>
        <v>18010.57</v>
      </c>
      <c r="O800" s="334">
        <v>18010.57</v>
      </c>
      <c r="P800" s="334"/>
    </row>
    <row r="801" spans="1:16">
      <c r="A801" s="177">
        <v>335</v>
      </c>
      <c r="B801" s="326">
        <v>200</v>
      </c>
      <c r="C801" s="326">
        <v>200</v>
      </c>
      <c r="D801" s="326">
        <v>500</v>
      </c>
      <c r="E801" s="326">
        <v>0</v>
      </c>
      <c r="F801" s="326">
        <v>0</v>
      </c>
      <c r="G801" s="347" t="s">
        <v>2984</v>
      </c>
      <c r="H801" s="330" t="s">
        <v>1132</v>
      </c>
      <c r="I801" s="326"/>
      <c r="J801" s="326"/>
      <c r="K801" s="334">
        <f t="shared" si="24"/>
        <v>1366.22</v>
      </c>
      <c r="L801" s="334">
        <v>1366.22</v>
      </c>
      <c r="M801" s="334"/>
      <c r="N801" s="334">
        <f t="shared" si="25"/>
        <v>1720.17</v>
      </c>
      <c r="O801" s="334">
        <v>1720.17</v>
      </c>
      <c r="P801" s="334"/>
    </row>
    <row r="802" spans="1:16">
      <c r="A802" s="177">
        <v>335</v>
      </c>
      <c r="B802" s="326">
        <v>200</v>
      </c>
      <c r="C802" s="326">
        <v>200</v>
      </c>
      <c r="D802" s="326">
        <v>600</v>
      </c>
      <c r="E802" s="326">
        <v>0</v>
      </c>
      <c r="F802" s="326">
        <v>0</v>
      </c>
      <c r="G802" s="348" t="s">
        <v>2985</v>
      </c>
      <c r="H802" s="331" t="s">
        <v>1115</v>
      </c>
      <c r="I802" s="326"/>
      <c r="J802" s="325"/>
      <c r="K802" s="335">
        <f t="shared" si="24"/>
        <v>0</v>
      </c>
      <c r="L802" s="335">
        <v>0</v>
      </c>
      <c r="M802" s="335"/>
      <c r="N802" s="335">
        <f t="shared" si="25"/>
        <v>0</v>
      </c>
      <c r="O802" s="335">
        <v>0</v>
      </c>
      <c r="P802" s="335"/>
    </row>
    <row r="803" spans="1:16">
      <c r="A803" s="177">
        <v>335</v>
      </c>
      <c r="B803" s="326">
        <v>200</v>
      </c>
      <c r="C803" s="326">
        <v>200</v>
      </c>
      <c r="D803" s="326">
        <v>600</v>
      </c>
      <c r="E803" s="326">
        <v>5</v>
      </c>
      <c r="F803" s="326">
        <v>0</v>
      </c>
      <c r="G803" s="347" t="s">
        <v>2986</v>
      </c>
      <c r="H803" s="330" t="s">
        <v>1116</v>
      </c>
      <c r="I803" s="326"/>
      <c r="J803" s="326"/>
      <c r="K803" s="334">
        <f t="shared" si="24"/>
        <v>0</v>
      </c>
      <c r="L803" s="334">
        <v>0</v>
      </c>
      <c r="M803" s="334"/>
      <c r="N803" s="334">
        <f t="shared" si="25"/>
        <v>0</v>
      </c>
      <c r="O803" s="334">
        <v>0</v>
      </c>
      <c r="P803" s="334"/>
    </row>
    <row r="804" spans="1:16">
      <c r="A804" s="177">
        <v>335</v>
      </c>
      <c r="B804" s="326">
        <v>200</v>
      </c>
      <c r="C804" s="326">
        <v>200</v>
      </c>
      <c r="D804" s="326">
        <v>600</v>
      </c>
      <c r="E804" s="326">
        <v>10</v>
      </c>
      <c r="F804" s="326">
        <v>0</v>
      </c>
      <c r="G804" s="347" t="s">
        <v>2987</v>
      </c>
      <c r="H804" s="330" t="s">
        <v>1117</v>
      </c>
      <c r="I804" s="326"/>
      <c r="J804" s="326"/>
      <c r="K804" s="334">
        <f t="shared" si="24"/>
        <v>0</v>
      </c>
      <c r="L804" s="334">
        <v>0</v>
      </c>
      <c r="M804" s="334"/>
      <c r="N804" s="334">
        <f t="shared" si="25"/>
        <v>0</v>
      </c>
      <c r="O804" s="334">
        <v>0</v>
      </c>
      <c r="P804" s="334"/>
    </row>
    <row r="805" spans="1:16">
      <c r="A805" s="177">
        <v>335</v>
      </c>
      <c r="B805" s="326">
        <v>200</v>
      </c>
      <c r="C805" s="326">
        <v>200</v>
      </c>
      <c r="D805" s="326">
        <v>600</v>
      </c>
      <c r="E805" s="326">
        <v>15</v>
      </c>
      <c r="F805" s="326">
        <v>0</v>
      </c>
      <c r="G805" s="347" t="s">
        <v>2988</v>
      </c>
      <c r="H805" s="330" t="s">
        <v>1146</v>
      </c>
      <c r="I805" s="326"/>
      <c r="J805" s="326"/>
      <c r="K805" s="334">
        <f t="shared" si="24"/>
        <v>0</v>
      </c>
      <c r="L805" s="334">
        <v>0</v>
      </c>
      <c r="M805" s="334"/>
      <c r="N805" s="334">
        <f t="shared" si="25"/>
        <v>0</v>
      </c>
      <c r="O805" s="334">
        <v>0</v>
      </c>
      <c r="P805" s="334"/>
    </row>
    <row r="806" spans="1:16">
      <c r="A806" s="177">
        <v>335</v>
      </c>
      <c r="B806" s="326">
        <v>200</v>
      </c>
      <c r="C806" s="326">
        <v>200</v>
      </c>
      <c r="D806" s="326">
        <v>900</v>
      </c>
      <c r="E806" s="326">
        <v>0</v>
      </c>
      <c r="F806" s="326">
        <v>0</v>
      </c>
      <c r="G806" s="347" t="s">
        <v>2989</v>
      </c>
      <c r="H806" s="330" t="s">
        <v>1135</v>
      </c>
      <c r="I806" s="326"/>
      <c r="J806" s="326"/>
      <c r="K806" s="334">
        <f t="shared" si="24"/>
        <v>14412.71</v>
      </c>
      <c r="L806" s="334">
        <v>14412.71</v>
      </c>
      <c r="M806" s="334"/>
      <c r="N806" s="334">
        <f t="shared" si="25"/>
        <v>112132.23</v>
      </c>
      <c r="O806" s="334">
        <v>112132.23</v>
      </c>
      <c r="P806" s="334"/>
    </row>
    <row r="807" spans="1:16" ht="25.5">
      <c r="A807" s="177">
        <v>335</v>
      </c>
      <c r="B807" s="326">
        <v>200</v>
      </c>
      <c r="C807" s="326">
        <v>300</v>
      </c>
      <c r="D807" s="326">
        <v>0</v>
      </c>
      <c r="E807" s="326">
        <v>0</v>
      </c>
      <c r="F807" s="326">
        <v>0</v>
      </c>
      <c r="G807" s="331" t="s">
        <v>2990</v>
      </c>
      <c r="H807" s="330" t="s">
        <v>1206</v>
      </c>
      <c r="I807" s="326" t="s">
        <v>1207</v>
      </c>
      <c r="J807" s="326"/>
      <c r="K807" s="334">
        <f t="shared" si="24"/>
        <v>0</v>
      </c>
      <c r="L807" s="334">
        <v>0</v>
      </c>
      <c r="M807" s="334"/>
      <c r="N807" s="334">
        <f t="shared" si="25"/>
        <v>0</v>
      </c>
      <c r="O807" s="334">
        <v>0</v>
      </c>
      <c r="P807" s="334"/>
    </row>
    <row r="808" spans="1:16">
      <c r="A808" s="403">
        <v>340</v>
      </c>
      <c r="B808" s="404">
        <v>0</v>
      </c>
      <c r="C808" s="404">
        <v>0</v>
      </c>
      <c r="D808" s="404">
        <v>0</v>
      </c>
      <c r="E808" s="404">
        <v>0</v>
      </c>
      <c r="F808" s="404">
        <v>0</v>
      </c>
      <c r="G808" s="339">
        <v>340</v>
      </c>
      <c r="H808" s="339" t="s">
        <v>67</v>
      </c>
      <c r="I808" s="55" t="s">
        <v>1208</v>
      </c>
      <c r="J808" s="55"/>
      <c r="K808" s="335">
        <f t="shared" si="24"/>
        <v>0</v>
      </c>
      <c r="L808" s="335">
        <v>0</v>
      </c>
      <c r="M808" s="335"/>
      <c r="N808" s="335">
        <f t="shared" si="25"/>
        <v>0</v>
      </c>
      <c r="O808" s="335">
        <v>0</v>
      </c>
      <c r="P808" s="335"/>
    </row>
    <row r="809" spans="1:16">
      <c r="A809" s="177">
        <v>340</v>
      </c>
      <c r="B809" s="326">
        <v>100</v>
      </c>
      <c r="C809" s="326">
        <v>0</v>
      </c>
      <c r="D809" s="326">
        <v>0</v>
      </c>
      <c r="E809" s="326">
        <v>0</v>
      </c>
      <c r="F809" s="326">
        <v>0</v>
      </c>
      <c r="G809" s="331" t="s">
        <v>2991</v>
      </c>
      <c r="H809" s="331" t="s">
        <v>1209</v>
      </c>
      <c r="I809" s="326" t="s">
        <v>1210</v>
      </c>
      <c r="J809" s="325"/>
      <c r="K809" s="335">
        <f t="shared" si="24"/>
        <v>0</v>
      </c>
      <c r="L809" s="335">
        <v>0</v>
      </c>
      <c r="M809" s="335"/>
      <c r="N809" s="335">
        <f t="shared" si="25"/>
        <v>0</v>
      </c>
      <c r="O809" s="335">
        <v>0</v>
      </c>
      <c r="P809" s="335"/>
    </row>
    <row r="810" spans="1:16">
      <c r="A810" s="177">
        <v>340</v>
      </c>
      <c r="B810" s="326">
        <v>100</v>
      </c>
      <c r="C810" s="326">
        <v>100</v>
      </c>
      <c r="D810" s="326">
        <v>0</v>
      </c>
      <c r="E810" s="326">
        <v>0</v>
      </c>
      <c r="F810" s="326">
        <v>0</v>
      </c>
      <c r="G810" s="330" t="s">
        <v>2992</v>
      </c>
      <c r="H810" s="330" t="s">
        <v>1211</v>
      </c>
      <c r="I810" s="326"/>
      <c r="J810" s="326"/>
      <c r="K810" s="341">
        <f t="shared" si="24"/>
        <v>0</v>
      </c>
      <c r="L810" s="341">
        <v>0</v>
      </c>
      <c r="M810" s="341"/>
      <c r="N810" s="341">
        <f t="shared" si="25"/>
        <v>200</v>
      </c>
      <c r="O810" s="341">
        <v>200</v>
      </c>
      <c r="P810" s="341"/>
    </row>
    <row r="811" spans="1:16">
      <c r="A811" s="177">
        <v>340</v>
      </c>
      <c r="B811" s="326">
        <v>100</v>
      </c>
      <c r="C811" s="326">
        <v>200</v>
      </c>
      <c r="D811" s="326">
        <v>0</v>
      </c>
      <c r="E811" s="326">
        <v>0</v>
      </c>
      <c r="F811" s="326">
        <v>0</v>
      </c>
      <c r="G811" s="330" t="s">
        <v>2993</v>
      </c>
      <c r="H811" s="330" t="s">
        <v>1212</v>
      </c>
      <c r="I811" s="326"/>
      <c r="J811" s="326"/>
      <c r="K811" s="341">
        <f t="shared" si="24"/>
        <v>17089.89</v>
      </c>
      <c r="L811" s="341">
        <v>17089.89</v>
      </c>
      <c r="M811" s="341"/>
      <c r="N811" s="341">
        <f t="shared" si="25"/>
        <v>20384.64</v>
      </c>
      <c r="O811" s="341">
        <v>20384.64</v>
      </c>
      <c r="P811" s="341"/>
    </row>
    <row r="812" spans="1:16">
      <c r="A812" s="177">
        <v>340</v>
      </c>
      <c r="B812" s="326">
        <v>100</v>
      </c>
      <c r="C812" s="326">
        <v>300</v>
      </c>
      <c r="D812" s="326">
        <v>0</v>
      </c>
      <c r="E812" s="326">
        <v>0</v>
      </c>
      <c r="F812" s="326">
        <v>0</v>
      </c>
      <c r="G812" s="330" t="s">
        <v>2994</v>
      </c>
      <c r="H812" s="330" t="s">
        <v>1213</v>
      </c>
      <c r="I812" s="326"/>
      <c r="J812" s="326"/>
      <c r="K812" s="341">
        <f t="shared" si="24"/>
        <v>0</v>
      </c>
      <c r="L812" s="341">
        <v>0</v>
      </c>
      <c r="M812" s="341"/>
      <c r="N812" s="341">
        <f t="shared" si="25"/>
        <v>0</v>
      </c>
      <c r="O812" s="341">
        <v>0</v>
      </c>
      <c r="P812" s="341"/>
    </row>
    <row r="813" spans="1:16">
      <c r="A813" s="177">
        <v>340</v>
      </c>
      <c r="B813" s="326">
        <v>100</v>
      </c>
      <c r="C813" s="326">
        <v>400</v>
      </c>
      <c r="D813" s="326">
        <v>0</v>
      </c>
      <c r="E813" s="326">
        <v>0</v>
      </c>
      <c r="F813" s="326">
        <v>0</v>
      </c>
      <c r="G813" s="330" t="s">
        <v>2995</v>
      </c>
      <c r="H813" s="330" t="s">
        <v>1214</v>
      </c>
      <c r="I813" s="326"/>
      <c r="J813" s="326"/>
      <c r="K813" s="341">
        <f t="shared" si="24"/>
        <v>121267.53</v>
      </c>
      <c r="L813" s="341">
        <v>121267.53</v>
      </c>
      <c r="M813" s="341"/>
      <c r="N813" s="341">
        <f t="shared" si="25"/>
        <v>109483.69</v>
      </c>
      <c r="O813" s="341">
        <v>109483.69</v>
      </c>
      <c r="P813" s="341"/>
    </row>
    <row r="814" spans="1:16">
      <c r="A814" s="177">
        <v>340</v>
      </c>
      <c r="B814" s="326">
        <v>100</v>
      </c>
      <c r="C814" s="326">
        <v>500</v>
      </c>
      <c r="D814" s="326">
        <v>0</v>
      </c>
      <c r="E814" s="326">
        <v>0</v>
      </c>
      <c r="F814" s="326">
        <v>0</v>
      </c>
      <c r="G814" s="330" t="s">
        <v>2996</v>
      </c>
      <c r="H814" s="330" t="s">
        <v>1215</v>
      </c>
      <c r="I814" s="326"/>
      <c r="J814" s="326"/>
      <c r="K814" s="341">
        <f t="shared" si="24"/>
        <v>0</v>
      </c>
      <c r="L814" s="341">
        <v>0</v>
      </c>
      <c r="M814" s="341"/>
      <c r="N814" s="341">
        <f t="shared" si="25"/>
        <v>0</v>
      </c>
      <c r="O814" s="341">
        <v>0</v>
      </c>
      <c r="P814" s="341"/>
    </row>
    <row r="815" spans="1:16">
      <c r="A815" s="177">
        <v>340</v>
      </c>
      <c r="B815" s="326">
        <v>100</v>
      </c>
      <c r="C815" s="326">
        <v>600</v>
      </c>
      <c r="D815" s="326">
        <v>0</v>
      </c>
      <c r="E815" s="326">
        <v>0</v>
      </c>
      <c r="F815" s="326">
        <v>0</v>
      </c>
      <c r="G815" s="330" t="s">
        <v>2997</v>
      </c>
      <c r="H815" s="330" t="s">
        <v>1216</v>
      </c>
      <c r="I815" s="326"/>
      <c r="J815" s="326"/>
      <c r="K815" s="341">
        <f t="shared" si="24"/>
        <v>0</v>
      </c>
      <c r="L815" s="341">
        <v>0</v>
      </c>
      <c r="M815" s="341"/>
      <c r="N815" s="341">
        <f t="shared" si="25"/>
        <v>0</v>
      </c>
      <c r="O815" s="341">
        <v>0</v>
      </c>
      <c r="P815" s="341"/>
    </row>
    <row r="816" spans="1:16">
      <c r="A816" s="177">
        <v>340</v>
      </c>
      <c r="B816" s="326">
        <v>100</v>
      </c>
      <c r="C816" s="326">
        <v>900</v>
      </c>
      <c r="D816" s="326">
        <v>0</v>
      </c>
      <c r="E816" s="326">
        <v>0</v>
      </c>
      <c r="F816" s="326">
        <v>0</v>
      </c>
      <c r="G816" s="330" t="s">
        <v>2998</v>
      </c>
      <c r="H816" s="330" t="s">
        <v>1217</v>
      </c>
      <c r="I816" s="326"/>
      <c r="J816" s="326"/>
      <c r="K816" s="341">
        <f t="shared" si="24"/>
        <v>28894.7</v>
      </c>
      <c r="L816" s="341">
        <v>28894.7</v>
      </c>
      <c r="M816" s="341"/>
      <c r="N816" s="341">
        <f t="shared" si="25"/>
        <v>22735</v>
      </c>
      <c r="O816" s="341">
        <v>22735</v>
      </c>
      <c r="P816" s="341"/>
    </row>
    <row r="817" spans="1:16">
      <c r="A817" s="177">
        <v>340</v>
      </c>
      <c r="B817" s="326">
        <v>200</v>
      </c>
      <c r="C817" s="326">
        <v>0</v>
      </c>
      <c r="D817" s="326">
        <v>0</v>
      </c>
      <c r="E817" s="326">
        <v>0</v>
      </c>
      <c r="F817" s="326">
        <v>0</v>
      </c>
      <c r="G817" s="331" t="s">
        <v>2999</v>
      </c>
      <c r="H817" s="330" t="s">
        <v>1218</v>
      </c>
      <c r="I817" s="326" t="s">
        <v>1219</v>
      </c>
      <c r="J817" s="326"/>
      <c r="K817" s="341">
        <f t="shared" si="24"/>
        <v>0</v>
      </c>
      <c r="L817" s="341">
        <v>0</v>
      </c>
      <c r="M817" s="341"/>
      <c r="N817" s="341">
        <f t="shared" si="25"/>
        <v>0</v>
      </c>
      <c r="O817" s="341">
        <v>0</v>
      </c>
      <c r="P817" s="341"/>
    </row>
    <row r="818" spans="1:16">
      <c r="A818" s="177">
        <v>340</v>
      </c>
      <c r="B818" s="326">
        <v>300</v>
      </c>
      <c r="C818" s="326">
        <v>0</v>
      </c>
      <c r="D818" s="326">
        <v>0</v>
      </c>
      <c r="E818" s="326">
        <v>0</v>
      </c>
      <c r="F818" s="326">
        <v>0</v>
      </c>
      <c r="G818" s="331" t="s">
        <v>3000</v>
      </c>
      <c r="H818" s="331" t="s">
        <v>1220</v>
      </c>
      <c r="I818" s="326" t="s">
        <v>1221</v>
      </c>
      <c r="J818" s="325"/>
      <c r="K818" s="335">
        <f t="shared" si="24"/>
        <v>0</v>
      </c>
      <c r="L818" s="335">
        <v>0</v>
      </c>
      <c r="M818" s="335"/>
      <c r="N818" s="335">
        <f t="shared" si="25"/>
        <v>0</v>
      </c>
      <c r="O818" s="335">
        <v>0</v>
      </c>
      <c r="P818" s="335"/>
    </row>
    <row r="819" spans="1:16" ht="25.5">
      <c r="A819" s="177">
        <v>340</v>
      </c>
      <c r="B819" s="326">
        <v>300</v>
      </c>
      <c r="C819" s="326">
        <v>100</v>
      </c>
      <c r="D819" s="326">
        <v>0</v>
      </c>
      <c r="E819" s="326">
        <v>0</v>
      </c>
      <c r="F819" s="326">
        <v>0</v>
      </c>
      <c r="G819" s="331" t="s">
        <v>3001</v>
      </c>
      <c r="H819" s="331" t="s">
        <v>1222</v>
      </c>
      <c r="I819" s="326" t="s">
        <v>1223</v>
      </c>
      <c r="J819" s="325"/>
      <c r="K819" s="335">
        <f t="shared" si="24"/>
        <v>0</v>
      </c>
      <c r="L819" s="335">
        <v>0</v>
      </c>
      <c r="M819" s="335"/>
      <c r="N819" s="335">
        <f t="shared" si="25"/>
        <v>0</v>
      </c>
      <c r="O819" s="335">
        <v>0</v>
      </c>
      <c r="P819" s="335"/>
    </row>
    <row r="820" spans="1:16">
      <c r="A820" s="177">
        <v>340</v>
      </c>
      <c r="B820" s="326">
        <v>300</v>
      </c>
      <c r="C820" s="326">
        <v>100</v>
      </c>
      <c r="D820" s="326">
        <v>100</v>
      </c>
      <c r="E820" s="326">
        <v>0</v>
      </c>
      <c r="F820" s="326">
        <v>0</v>
      </c>
      <c r="G820" s="331" t="s">
        <v>3002</v>
      </c>
      <c r="H820" s="331" t="s">
        <v>1224</v>
      </c>
      <c r="I820" s="326"/>
      <c r="J820" s="325"/>
      <c r="K820" s="335">
        <f t="shared" si="24"/>
        <v>0</v>
      </c>
      <c r="L820" s="335">
        <v>0</v>
      </c>
      <c r="M820" s="335"/>
      <c r="N820" s="335">
        <f t="shared" si="25"/>
        <v>0</v>
      </c>
      <c r="O820" s="335">
        <v>0</v>
      </c>
      <c r="P820" s="335"/>
    </row>
    <row r="821" spans="1:16">
      <c r="A821" s="177">
        <v>340</v>
      </c>
      <c r="B821" s="326">
        <v>300</v>
      </c>
      <c r="C821" s="326">
        <v>100</v>
      </c>
      <c r="D821" s="326">
        <v>100</v>
      </c>
      <c r="E821" s="326">
        <v>10</v>
      </c>
      <c r="F821" s="326">
        <v>0</v>
      </c>
      <c r="G821" s="330" t="s">
        <v>3003</v>
      </c>
      <c r="H821" s="330" t="s">
        <v>1225</v>
      </c>
      <c r="I821" s="326"/>
      <c r="J821" s="326"/>
      <c r="K821" s="341">
        <f t="shared" si="24"/>
        <v>586444.44999999995</v>
      </c>
      <c r="L821" s="341">
        <v>586444.44999999995</v>
      </c>
      <c r="M821" s="341"/>
      <c r="N821" s="341">
        <f t="shared" si="25"/>
        <v>604800</v>
      </c>
      <c r="O821" s="341">
        <v>604800</v>
      </c>
      <c r="P821" s="341"/>
    </row>
    <row r="822" spans="1:16">
      <c r="A822" s="177">
        <v>340</v>
      </c>
      <c r="B822" s="326">
        <v>300</v>
      </c>
      <c r="C822" s="326">
        <v>100</v>
      </c>
      <c r="D822" s="326">
        <v>100</v>
      </c>
      <c r="E822" s="326">
        <v>30</v>
      </c>
      <c r="F822" s="326">
        <v>0</v>
      </c>
      <c r="G822" s="330" t="s">
        <v>3004</v>
      </c>
      <c r="H822" s="330" t="s">
        <v>634</v>
      </c>
      <c r="I822" s="326"/>
      <c r="J822" s="326"/>
      <c r="K822" s="341">
        <f t="shared" si="24"/>
        <v>134310.39000000001</v>
      </c>
      <c r="L822" s="341">
        <v>134310.39000000001</v>
      </c>
      <c r="M822" s="341"/>
      <c r="N822" s="341">
        <f t="shared" si="25"/>
        <v>105279.09</v>
      </c>
      <c r="O822" s="341">
        <v>105279.09</v>
      </c>
      <c r="P822" s="341"/>
    </row>
    <row r="823" spans="1:16">
      <c r="A823" s="177">
        <v>340</v>
      </c>
      <c r="B823" s="326">
        <v>300</v>
      </c>
      <c r="C823" s="326">
        <v>100</v>
      </c>
      <c r="D823" s="326">
        <v>100</v>
      </c>
      <c r="E823" s="326">
        <v>90</v>
      </c>
      <c r="F823" s="326">
        <v>0</v>
      </c>
      <c r="G823" s="330" t="s">
        <v>3005</v>
      </c>
      <c r="H823" s="330" t="s">
        <v>1226</v>
      </c>
      <c r="I823" s="326"/>
      <c r="J823" s="326"/>
      <c r="K823" s="341">
        <f t="shared" ref="K823:K886" si="26">+L823+M823</f>
        <v>1207.6400000000001</v>
      </c>
      <c r="L823" s="341">
        <v>1207.6400000000001</v>
      </c>
      <c r="M823" s="341"/>
      <c r="N823" s="341">
        <f t="shared" si="25"/>
        <v>0</v>
      </c>
      <c r="O823" s="341">
        <v>0</v>
      </c>
      <c r="P823" s="341"/>
    </row>
    <row r="824" spans="1:16">
      <c r="A824" s="177">
        <v>340</v>
      </c>
      <c r="B824" s="326">
        <v>300</v>
      </c>
      <c r="C824" s="326">
        <v>100</v>
      </c>
      <c r="D824" s="326">
        <v>200</v>
      </c>
      <c r="E824" s="326">
        <v>0</v>
      </c>
      <c r="F824" s="326">
        <v>0</v>
      </c>
      <c r="G824" s="331" t="s">
        <v>3006</v>
      </c>
      <c r="H824" s="331" t="s">
        <v>1227</v>
      </c>
      <c r="I824" s="326"/>
      <c r="J824" s="325"/>
      <c r="K824" s="335">
        <f t="shared" si="26"/>
        <v>0</v>
      </c>
      <c r="L824" s="335">
        <v>0</v>
      </c>
      <c r="M824" s="335"/>
      <c r="N824" s="335">
        <f t="shared" si="25"/>
        <v>0</v>
      </c>
      <c r="O824" s="335">
        <v>0</v>
      </c>
      <c r="P824" s="335"/>
    </row>
    <row r="825" spans="1:16">
      <c r="A825" s="177">
        <v>340</v>
      </c>
      <c r="B825" s="326">
        <v>300</v>
      </c>
      <c r="C825" s="326">
        <v>100</v>
      </c>
      <c r="D825" s="326">
        <v>200</v>
      </c>
      <c r="E825" s="326">
        <v>10</v>
      </c>
      <c r="F825" s="326">
        <v>0</v>
      </c>
      <c r="G825" s="330" t="s">
        <v>3007</v>
      </c>
      <c r="H825" s="330" t="s">
        <v>1225</v>
      </c>
      <c r="I825" s="326"/>
      <c r="J825" s="326"/>
      <c r="K825" s="341">
        <f t="shared" si="26"/>
        <v>53639.08</v>
      </c>
      <c r="L825" s="341">
        <v>53639.08</v>
      </c>
      <c r="M825" s="341"/>
      <c r="N825" s="341">
        <f t="shared" si="25"/>
        <v>53639.08</v>
      </c>
      <c r="O825" s="341">
        <v>53639.08</v>
      </c>
      <c r="P825" s="341"/>
    </row>
    <row r="826" spans="1:16">
      <c r="A826" s="177">
        <v>340</v>
      </c>
      <c r="B826" s="326">
        <v>300</v>
      </c>
      <c r="C826" s="326">
        <v>100</v>
      </c>
      <c r="D826" s="326">
        <v>200</v>
      </c>
      <c r="E826" s="326">
        <v>30</v>
      </c>
      <c r="F826" s="326">
        <v>0</v>
      </c>
      <c r="G826" s="330" t="s">
        <v>3008</v>
      </c>
      <c r="H826" s="330" t="s">
        <v>634</v>
      </c>
      <c r="I826" s="326"/>
      <c r="J826" s="326"/>
      <c r="K826" s="341">
        <f t="shared" si="26"/>
        <v>0</v>
      </c>
      <c r="L826" s="341">
        <v>0</v>
      </c>
      <c r="M826" s="341"/>
      <c r="N826" s="341">
        <f t="shared" si="25"/>
        <v>0</v>
      </c>
      <c r="O826" s="341">
        <v>0</v>
      </c>
      <c r="P826" s="341"/>
    </row>
    <row r="827" spans="1:16">
      <c r="A827" s="177">
        <v>340</v>
      </c>
      <c r="B827" s="326">
        <v>300</v>
      </c>
      <c r="C827" s="326">
        <v>100</v>
      </c>
      <c r="D827" s="326">
        <v>200</v>
      </c>
      <c r="E827" s="326">
        <v>90</v>
      </c>
      <c r="F827" s="326">
        <v>0</v>
      </c>
      <c r="G827" s="330" t="s">
        <v>3009</v>
      </c>
      <c r="H827" s="330" t="s">
        <v>1228</v>
      </c>
      <c r="I827" s="326"/>
      <c r="J827" s="326"/>
      <c r="K827" s="341">
        <f t="shared" si="26"/>
        <v>0</v>
      </c>
      <c r="L827" s="341">
        <v>0</v>
      </c>
      <c r="M827" s="341"/>
      <c r="N827" s="341">
        <f t="shared" si="25"/>
        <v>0</v>
      </c>
      <c r="O827" s="341">
        <v>0</v>
      </c>
      <c r="P827" s="341"/>
    </row>
    <row r="828" spans="1:16">
      <c r="A828" s="177">
        <v>340</v>
      </c>
      <c r="B828" s="326">
        <v>300</v>
      </c>
      <c r="C828" s="326">
        <v>100</v>
      </c>
      <c r="D828" s="326">
        <v>300</v>
      </c>
      <c r="E828" s="326">
        <v>0</v>
      </c>
      <c r="F828" s="326">
        <v>0</v>
      </c>
      <c r="G828" s="331" t="s">
        <v>3010</v>
      </c>
      <c r="H828" s="331" t="s">
        <v>1229</v>
      </c>
      <c r="I828" s="326"/>
      <c r="J828" s="325"/>
      <c r="K828" s="335">
        <f t="shared" si="26"/>
        <v>0</v>
      </c>
      <c r="L828" s="335">
        <v>0</v>
      </c>
      <c r="M828" s="335"/>
      <c r="N828" s="335">
        <f t="shared" si="25"/>
        <v>0</v>
      </c>
      <c r="O828" s="335">
        <v>0</v>
      </c>
      <c r="P828" s="335"/>
    </row>
    <row r="829" spans="1:16">
      <c r="A829" s="177">
        <v>340</v>
      </c>
      <c r="B829" s="326">
        <v>300</v>
      </c>
      <c r="C829" s="326">
        <v>100</v>
      </c>
      <c r="D829" s="326">
        <v>300</v>
      </c>
      <c r="E829" s="326">
        <v>10</v>
      </c>
      <c r="F829" s="326">
        <v>0</v>
      </c>
      <c r="G829" s="330" t="s">
        <v>3011</v>
      </c>
      <c r="H829" s="330" t="s">
        <v>1225</v>
      </c>
      <c r="I829" s="326"/>
      <c r="J829" s="326"/>
      <c r="K829" s="341">
        <f t="shared" si="26"/>
        <v>12000</v>
      </c>
      <c r="L829" s="341">
        <v>12000</v>
      </c>
      <c r="M829" s="341"/>
      <c r="N829" s="341">
        <f t="shared" si="25"/>
        <v>12000</v>
      </c>
      <c r="O829" s="341">
        <v>12000</v>
      </c>
      <c r="P829" s="341"/>
    </row>
    <row r="830" spans="1:16">
      <c r="A830" s="177">
        <v>340</v>
      </c>
      <c r="B830" s="326">
        <v>300</v>
      </c>
      <c r="C830" s="326">
        <v>100</v>
      </c>
      <c r="D830" s="326">
        <v>300</v>
      </c>
      <c r="E830" s="326">
        <v>30</v>
      </c>
      <c r="F830" s="326">
        <v>0</v>
      </c>
      <c r="G830" s="330" t="s">
        <v>3012</v>
      </c>
      <c r="H830" s="330" t="s">
        <v>634</v>
      </c>
      <c r="I830" s="326"/>
      <c r="J830" s="326"/>
      <c r="K830" s="341">
        <f t="shared" si="26"/>
        <v>1920</v>
      </c>
      <c r="L830" s="341">
        <v>1920</v>
      </c>
      <c r="M830" s="341"/>
      <c r="N830" s="341">
        <f t="shared" si="25"/>
        <v>1920</v>
      </c>
      <c r="O830" s="341">
        <v>1920</v>
      </c>
      <c r="P830" s="341"/>
    </row>
    <row r="831" spans="1:16">
      <c r="A831" s="177">
        <v>340</v>
      </c>
      <c r="B831" s="326">
        <v>300</v>
      </c>
      <c r="C831" s="326">
        <v>100</v>
      </c>
      <c r="D831" s="326">
        <v>300</v>
      </c>
      <c r="E831" s="326">
        <v>90</v>
      </c>
      <c r="F831" s="326">
        <v>0</v>
      </c>
      <c r="G831" s="330" t="s">
        <v>3013</v>
      </c>
      <c r="H831" s="330" t="s">
        <v>1230</v>
      </c>
      <c r="I831" s="326"/>
      <c r="J831" s="326"/>
      <c r="K831" s="341">
        <f t="shared" si="26"/>
        <v>2962.23</v>
      </c>
      <c r="L831" s="341">
        <v>2962.23</v>
      </c>
      <c r="M831" s="341"/>
      <c r="N831" s="341">
        <f t="shared" si="25"/>
        <v>1485.4</v>
      </c>
      <c r="O831" s="341">
        <v>1485.4</v>
      </c>
      <c r="P831" s="341"/>
    </row>
    <row r="832" spans="1:16">
      <c r="A832" s="177">
        <v>340</v>
      </c>
      <c r="B832" s="326">
        <v>300</v>
      </c>
      <c r="C832" s="326">
        <v>200</v>
      </c>
      <c r="D832" s="326">
        <v>0</v>
      </c>
      <c r="E832" s="326">
        <v>0</v>
      </c>
      <c r="F832" s="326">
        <v>0</v>
      </c>
      <c r="G832" s="331" t="s">
        <v>3014</v>
      </c>
      <c r="H832" s="331" t="s">
        <v>1220</v>
      </c>
      <c r="I832" s="326" t="s">
        <v>1231</v>
      </c>
      <c r="J832" s="325"/>
      <c r="K832" s="335">
        <f t="shared" si="26"/>
        <v>0</v>
      </c>
      <c r="L832" s="335">
        <v>0</v>
      </c>
      <c r="M832" s="335"/>
      <c r="N832" s="335">
        <f t="shared" si="25"/>
        <v>0</v>
      </c>
      <c r="O832" s="335">
        <v>0</v>
      </c>
      <c r="P832" s="335"/>
    </row>
    <row r="833" spans="1:16">
      <c r="A833" s="177">
        <v>340</v>
      </c>
      <c r="B833" s="326">
        <v>300</v>
      </c>
      <c r="C833" s="326">
        <v>200</v>
      </c>
      <c r="D833" s="326">
        <v>100</v>
      </c>
      <c r="E833" s="326">
        <v>0</v>
      </c>
      <c r="F833" s="326">
        <v>0</v>
      </c>
      <c r="G833" s="330" t="s">
        <v>3015</v>
      </c>
      <c r="H833" s="330" t="s">
        <v>1232</v>
      </c>
      <c r="I833" s="326"/>
      <c r="J833" s="326"/>
      <c r="K833" s="341">
        <f t="shared" si="26"/>
        <v>0</v>
      </c>
      <c r="L833" s="341">
        <v>0</v>
      </c>
      <c r="M833" s="341"/>
      <c r="N833" s="341">
        <f t="shared" si="25"/>
        <v>0</v>
      </c>
      <c r="O833" s="341">
        <v>0</v>
      </c>
      <c r="P833" s="341"/>
    </row>
    <row r="834" spans="1:16">
      <c r="A834" s="177">
        <v>340</v>
      </c>
      <c r="B834" s="326">
        <v>300</v>
      </c>
      <c r="C834" s="326">
        <v>200</v>
      </c>
      <c r="D834" s="326">
        <v>200</v>
      </c>
      <c r="E834" s="326">
        <v>0</v>
      </c>
      <c r="F834" s="326">
        <v>0</v>
      </c>
      <c r="G834" s="330" t="s">
        <v>3454</v>
      </c>
      <c r="H834" s="330" t="s">
        <v>1233</v>
      </c>
      <c r="I834" s="326"/>
      <c r="J834" s="326"/>
      <c r="K834" s="341">
        <f t="shared" si="26"/>
        <v>616.76</v>
      </c>
      <c r="L834" s="341">
        <v>616.76</v>
      </c>
      <c r="M834" s="341"/>
      <c r="N834" s="341">
        <f t="shared" si="25"/>
        <v>0</v>
      </c>
      <c r="O834" s="341">
        <v>0</v>
      </c>
      <c r="P834" s="341"/>
    </row>
    <row r="835" spans="1:16">
      <c r="A835" s="177">
        <v>340</v>
      </c>
      <c r="B835" s="326">
        <v>300</v>
      </c>
      <c r="C835" s="326">
        <v>200</v>
      </c>
      <c r="D835" s="326">
        <v>900</v>
      </c>
      <c r="E835" s="326">
        <v>0</v>
      </c>
      <c r="F835" s="326">
        <v>0</v>
      </c>
      <c r="G835" s="330" t="s">
        <v>3453</v>
      </c>
      <c r="H835" s="330" t="s">
        <v>1220</v>
      </c>
      <c r="I835" s="326"/>
      <c r="J835" s="326"/>
      <c r="K835" s="341">
        <f t="shared" si="26"/>
        <v>0</v>
      </c>
      <c r="L835" s="341">
        <v>0</v>
      </c>
      <c r="M835" s="341"/>
      <c r="N835" s="341">
        <f t="shared" si="25"/>
        <v>0</v>
      </c>
      <c r="O835" s="341">
        <v>0</v>
      </c>
      <c r="P835" s="341"/>
    </row>
    <row r="836" spans="1:16" ht="25.5">
      <c r="A836" s="177">
        <v>340</v>
      </c>
      <c r="B836" s="326">
        <v>300</v>
      </c>
      <c r="C836" s="326">
        <v>300</v>
      </c>
      <c r="D836" s="326">
        <v>0</v>
      </c>
      <c r="E836" s="326">
        <v>0</v>
      </c>
      <c r="F836" s="326">
        <v>0</v>
      </c>
      <c r="G836" s="330" t="s">
        <v>3016</v>
      </c>
      <c r="H836" s="330" t="s">
        <v>1234</v>
      </c>
      <c r="I836" s="326" t="s">
        <v>1235</v>
      </c>
      <c r="J836" s="326" t="s">
        <v>1529</v>
      </c>
      <c r="K836" s="341">
        <f t="shared" si="26"/>
        <v>0</v>
      </c>
      <c r="L836" s="341">
        <v>0</v>
      </c>
      <c r="M836" s="341"/>
      <c r="N836" s="341">
        <f t="shared" si="25"/>
        <v>0</v>
      </c>
      <c r="O836" s="341">
        <v>0</v>
      </c>
      <c r="P836" s="341"/>
    </row>
    <row r="837" spans="1:16">
      <c r="A837" s="177">
        <v>340</v>
      </c>
      <c r="B837" s="326">
        <v>300</v>
      </c>
      <c r="C837" s="326">
        <v>400</v>
      </c>
      <c r="D837" s="326">
        <v>0</v>
      </c>
      <c r="E837" s="326">
        <v>0</v>
      </c>
      <c r="F837" s="326">
        <v>0</v>
      </c>
      <c r="G837" s="330" t="s">
        <v>3017</v>
      </c>
      <c r="H837" s="330" t="s">
        <v>1236</v>
      </c>
      <c r="I837" s="326" t="s">
        <v>1237</v>
      </c>
      <c r="J837" s="326"/>
      <c r="K837" s="341">
        <f t="shared" si="26"/>
        <v>0</v>
      </c>
      <c r="L837" s="341">
        <v>0</v>
      </c>
      <c r="M837" s="341"/>
      <c r="N837" s="341">
        <f t="shared" si="25"/>
        <v>0</v>
      </c>
      <c r="O837" s="341">
        <v>0</v>
      </c>
      <c r="P837" s="341"/>
    </row>
    <row r="838" spans="1:16">
      <c r="A838" s="403">
        <v>345</v>
      </c>
      <c r="B838" s="404">
        <v>0</v>
      </c>
      <c r="C838" s="404">
        <v>0</v>
      </c>
      <c r="D838" s="404">
        <v>0</v>
      </c>
      <c r="E838" s="404">
        <v>0</v>
      </c>
      <c r="F838" s="404">
        <v>0</v>
      </c>
      <c r="G838" s="339">
        <v>345</v>
      </c>
      <c r="H838" s="339" t="s">
        <v>1238</v>
      </c>
      <c r="I838" s="55" t="s">
        <v>1239</v>
      </c>
      <c r="J838" s="55"/>
      <c r="K838" s="335">
        <f t="shared" si="26"/>
        <v>0</v>
      </c>
      <c r="L838" s="335">
        <v>0</v>
      </c>
      <c r="M838" s="335"/>
      <c r="N838" s="335">
        <f t="shared" si="25"/>
        <v>0</v>
      </c>
      <c r="O838" s="335">
        <v>0</v>
      </c>
      <c r="P838" s="335"/>
    </row>
    <row r="839" spans="1:16">
      <c r="A839" s="177">
        <v>345</v>
      </c>
      <c r="B839" s="326">
        <v>100</v>
      </c>
      <c r="C839" s="326">
        <v>0</v>
      </c>
      <c r="D839" s="326">
        <v>0</v>
      </c>
      <c r="E839" s="326">
        <v>0</v>
      </c>
      <c r="F839" s="326">
        <v>0</v>
      </c>
      <c r="G839" s="330" t="s">
        <v>3018</v>
      </c>
      <c r="H839" s="330" t="s">
        <v>1240</v>
      </c>
      <c r="I839" s="326"/>
      <c r="J839" s="326"/>
      <c r="K839" s="341">
        <f t="shared" si="26"/>
        <v>0</v>
      </c>
      <c r="L839" s="341">
        <v>0</v>
      </c>
      <c r="M839" s="341"/>
      <c r="N839" s="341">
        <f t="shared" ref="N839:N902" si="27">+O839+P839</f>
        <v>0</v>
      </c>
      <c r="O839" s="341">
        <v>0</v>
      </c>
      <c r="P839" s="341"/>
    </row>
    <row r="840" spans="1:16">
      <c r="A840" s="177">
        <v>345</v>
      </c>
      <c r="B840" s="326">
        <v>200</v>
      </c>
      <c r="C840" s="326">
        <v>0</v>
      </c>
      <c r="D840" s="326">
        <v>0</v>
      </c>
      <c r="E840" s="326">
        <v>0</v>
      </c>
      <c r="F840" s="326">
        <v>0</v>
      </c>
      <c r="G840" s="330" t="s">
        <v>3019</v>
      </c>
      <c r="H840" s="330" t="s">
        <v>1241</v>
      </c>
      <c r="I840" s="326"/>
      <c r="J840" s="326"/>
      <c r="K840" s="341">
        <f t="shared" si="26"/>
        <v>0</v>
      </c>
      <c r="L840" s="341">
        <v>0</v>
      </c>
      <c r="M840" s="341"/>
      <c r="N840" s="341">
        <f t="shared" si="27"/>
        <v>0</v>
      </c>
      <c r="O840" s="341">
        <v>0</v>
      </c>
      <c r="P840" s="341"/>
    </row>
    <row r="841" spans="1:16" ht="38.25">
      <c r="A841" s="177">
        <v>345</v>
      </c>
      <c r="B841" s="326">
        <v>300</v>
      </c>
      <c r="C841" s="326">
        <v>0</v>
      </c>
      <c r="D841" s="326">
        <v>0</v>
      </c>
      <c r="E841" s="326">
        <v>0</v>
      </c>
      <c r="F841" s="326">
        <v>0</v>
      </c>
      <c r="G841" s="330" t="s">
        <v>3020</v>
      </c>
      <c r="H841" s="330" t="s">
        <v>1242</v>
      </c>
      <c r="I841" s="326"/>
      <c r="J841" s="326"/>
      <c r="K841" s="341">
        <f t="shared" si="26"/>
        <v>0</v>
      </c>
      <c r="L841" s="341">
        <v>0</v>
      </c>
      <c r="M841" s="341"/>
      <c r="N841" s="341">
        <f t="shared" si="27"/>
        <v>0</v>
      </c>
      <c r="O841" s="341">
        <v>0</v>
      </c>
      <c r="P841" s="341"/>
    </row>
    <row r="842" spans="1:16" ht="25.5">
      <c r="A842" s="177">
        <v>345</v>
      </c>
      <c r="B842" s="326">
        <v>400</v>
      </c>
      <c r="C842" s="326">
        <v>0</v>
      </c>
      <c r="D842" s="326">
        <v>0</v>
      </c>
      <c r="E842" s="326">
        <v>0</v>
      </c>
      <c r="F842" s="326">
        <v>0</v>
      </c>
      <c r="G842" s="330" t="s">
        <v>3021</v>
      </c>
      <c r="H842" s="330" t="s">
        <v>1243</v>
      </c>
      <c r="I842" s="326"/>
      <c r="J842" s="326"/>
      <c r="K842" s="341">
        <f t="shared" si="26"/>
        <v>0</v>
      </c>
      <c r="L842" s="341">
        <v>0</v>
      </c>
      <c r="M842" s="341"/>
      <c r="N842" s="341">
        <f t="shared" si="27"/>
        <v>0</v>
      </c>
      <c r="O842" s="341">
        <v>0</v>
      </c>
      <c r="P842" s="341"/>
    </row>
    <row r="843" spans="1:16" ht="25.5">
      <c r="A843" s="177">
        <v>345</v>
      </c>
      <c r="B843" s="326">
        <v>500</v>
      </c>
      <c r="C843" s="326">
        <v>0</v>
      </c>
      <c r="D843" s="326">
        <v>0</v>
      </c>
      <c r="E843" s="326">
        <v>0</v>
      </c>
      <c r="F843" s="326">
        <v>0</v>
      </c>
      <c r="G843" s="330" t="s">
        <v>3022</v>
      </c>
      <c r="H843" s="330" t="s">
        <v>1244</v>
      </c>
      <c r="I843" s="326"/>
      <c r="J843" s="326"/>
      <c r="K843" s="341">
        <f t="shared" si="26"/>
        <v>13125.37</v>
      </c>
      <c r="L843" s="341">
        <v>13125.37</v>
      </c>
      <c r="M843" s="341"/>
      <c r="N843" s="341">
        <f t="shared" si="27"/>
        <v>14514.34</v>
      </c>
      <c r="O843" s="341">
        <v>14514.34</v>
      </c>
      <c r="P843" s="341"/>
    </row>
    <row r="844" spans="1:16">
      <c r="A844" s="177">
        <v>345</v>
      </c>
      <c r="B844" s="326">
        <v>600</v>
      </c>
      <c r="C844" s="326">
        <v>0</v>
      </c>
      <c r="D844" s="326">
        <v>0</v>
      </c>
      <c r="E844" s="326">
        <v>0</v>
      </c>
      <c r="F844" s="326">
        <v>0</v>
      </c>
      <c r="G844" s="330" t="s">
        <v>3023</v>
      </c>
      <c r="H844" s="330" t="s">
        <v>1245</v>
      </c>
      <c r="I844" s="326"/>
      <c r="J844" s="326"/>
      <c r="K844" s="341">
        <f t="shared" si="26"/>
        <v>0</v>
      </c>
      <c r="L844" s="341">
        <v>0</v>
      </c>
      <c r="M844" s="341"/>
      <c r="N844" s="341">
        <f t="shared" si="27"/>
        <v>0</v>
      </c>
      <c r="O844" s="341">
        <v>0</v>
      </c>
      <c r="P844" s="341"/>
    </row>
    <row r="845" spans="1:16">
      <c r="A845" s="177">
        <v>345</v>
      </c>
      <c r="B845" s="326">
        <v>700</v>
      </c>
      <c r="C845" s="326">
        <v>0</v>
      </c>
      <c r="D845" s="326">
        <v>0</v>
      </c>
      <c r="E845" s="326">
        <v>0</v>
      </c>
      <c r="F845" s="326">
        <v>0</v>
      </c>
      <c r="G845" s="330" t="s">
        <v>3024</v>
      </c>
      <c r="H845" s="330" t="s">
        <v>1246</v>
      </c>
      <c r="I845" s="326"/>
      <c r="J845" s="326"/>
      <c r="K845" s="341">
        <f t="shared" si="26"/>
        <v>0</v>
      </c>
      <c r="L845" s="341">
        <v>0</v>
      </c>
      <c r="M845" s="341"/>
      <c r="N845" s="341">
        <f t="shared" si="27"/>
        <v>0</v>
      </c>
      <c r="O845" s="341">
        <v>0</v>
      </c>
      <c r="P845" s="341"/>
    </row>
    <row r="846" spans="1:16">
      <c r="A846" s="177">
        <v>345</v>
      </c>
      <c r="B846" s="326">
        <v>900</v>
      </c>
      <c r="C846" s="326">
        <v>0</v>
      </c>
      <c r="D846" s="326">
        <v>0</v>
      </c>
      <c r="E846" s="326">
        <v>0</v>
      </c>
      <c r="F846" s="326">
        <v>0</v>
      </c>
      <c r="G846" s="330" t="s">
        <v>3025</v>
      </c>
      <c r="H846" s="330" t="s">
        <v>1247</v>
      </c>
      <c r="I846" s="326"/>
      <c r="J846" s="326"/>
      <c r="K846" s="341">
        <f t="shared" si="26"/>
        <v>0</v>
      </c>
      <c r="L846" s="341">
        <v>0</v>
      </c>
      <c r="M846" s="341"/>
      <c r="N846" s="341">
        <f t="shared" si="27"/>
        <v>0</v>
      </c>
      <c r="O846" s="341">
        <v>0</v>
      </c>
      <c r="P846" s="341"/>
    </row>
    <row r="847" spans="1:16">
      <c r="A847" s="403">
        <v>350</v>
      </c>
      <c r="B847" s="404">
        <v>0</v>
      </c>
      <c r="C847" s="404">
        <v>0</v>
      </c>
      <c r="D847" s="404">
        <v>0</v>
      </c>
      <c r="E847" s="404">
        <v>0</v>
      </c>
      <c r="F847" s="404">
        <v>0</v>
      </c>
      <c r="G847" s="339">
        <v>350</v>
      </c>
      <c r="H847" s="339" t="s">
        <v>1248</v>
      </c>
      <c r="I847" s="55" t="s">
        <v>1249</v>
      </c>
      <c r="J847" s="55"/>
      <c r="K847" s="335">
        <f t="shared" si="26"/>
        <v>0</v>
      </c>
      <c r="L847" s="335">
        <v>0</v>
      </c>
      <c r="M847" s="335"/>
      <c r="N847" s="335">
        <f t="shared" si="27"/>
        <v>0</v>
      </c>
      <c r="O847" s="335">
        <v>0</v>
      </c>
      <c r="P847" s="335"/>
    </row>
    <row r="848" spans="1:16">
      <c r="A848" s="177">
        <v>350</v>
      </c>
      <c r="B848" s="326">
        <v>100</v>
      </c>
      <c r="C848" s="326">
        <v>0</v>
      </c>
      <c r="D848" s="326">
        <v>0</v>
      </c>
      <c r="E848" s="326">
        <v>0</v>
      </c>
      <c r="F848" s="326">
        <v>0</v>
      </c>
      <c r="G848" s="331" t="s">
        <v>3026</v>
      </c>
      <c r="H848" s="331" t="s">
        <v>1250</v>
      </c>
      <c r="I848" s="326" t="s">
        <v>1251</v>
      </c>
      <c r="J848" s="325"/>
      <c r="K848" s="335">
        <f t="shared" si="26"/>
        <v>0</v>
      </c>
      <c r="L848" s="335">
        <v>0</v>
      </c>
      <c r="M848" s="335"/>
      <c r="N848" s="335">
        <f t="shared" si="27"/>
        <v>0</v>
      </c>
      <c r="O848" s="335">
        <v>0</v>
      </c>
      <c r="P848" s="335"/>
    </row>
    <row r="849" spans="1:16">
      <c r="A849" s="177">
        <v>350</v>
      </c>
      <c r="B849" s="326">
        <v>100</v>
      </c>
      <c r="C849" s="326">
        <v>100</v>
      </c>
      <c r="D849" s="326">
        <v>0</v>
      </c>
      <c r="E849" s="326">
        <v>0</v>
      </c>
      <c r="F849" s="326">
        <v>0</v>
      </c>
      <c r="G849" s="330" t="s">
        <v>3027</v>
      </c>
      <c r="H849" s="330" t="s">
        <v>1252</v>
      </c>
      <c r="I849" s="326" t="s">
        <v>1253</v>
      </c>
      <c r="J849" s="326"/>
      <c r="K849" s="334">
        <f t="shared" si="26"/>
        <v>76489.59</v>
      </c>
      <c r="L849" s="334">
        <v>76489.59</v>
      </c>
      <c r="M849" s="334"/>
      <c r="N849" s="334">
        <f t="shared" si="27"/>
        <v>47855.53</v>
      </c>
      <c r="O849" s="334">
        <v>47855.53</v>
      </c>
      <c r="P849" s="334"/>
    </row>
    <row r="850" spans="1:16">
      <c r="A850" s="177">
        <v>350</v>
      </c>
      <c r="B850" s="326">
        <v>100</v>
      </c>
      <c r="C850" s="326">
        <v>200</v>
      </c>
      <c r="D850" s="326">
        <v>0</v>
      </c>
      <c r="E850" s="326">
        <v>0</v>
      </c>
      <c r="F850" s="326">
        <v>0</v>
      </c>
      <c r="G850" s="330" t="s">
        <v>3028</v>
      </c>
      <c r="H850" s="330" t="s">
        <v>1254</v>
      </c>
      <c r="I850" s="326" t="s">
        <v>1255</v>
      </c>
      <c r="J850" s="326"/>
      <c r="K850" s="334">
        <f t="shared" si="26"/>
        <v>1251820.81</v>
      </c>
      <c r="L850" s="334">
        <v>1251820.81</v>
      </c>
      <c r="M850" s="334"/>
      <c r="N850" s="334">
        <f t="shared" si="27"/>
        <v>1211811.94</v>
      </c>
      <c r="O850" s="334">
        <v>1211811.94</v>
      </c>
      <c r="P850" s="334"/>
    </row>
    <row r="851" spans="1:16">
      <c r="A851" s="177">
        <v>350</v>
      </c>
      <c r="B851" s="326">
        <v>200</v>
      </c>
      <c r="C851" s="326">
        <v>0</v>
      </c>
      <c r="D851" s="326">
        <v>0</v>
      </c>
      <c r="E851" s="326">
        <v>0</v>
      </c>
      <c r="F851" s="326">
        <v>0</v>
      </c>
      <c r="G851" s="331" t="s">
        <v>3029</v>
      </c>
      <c r="H851" s="331" t="s">
        <v>1256</v>
      </c>
      <c r="I851" s="326" t="s">
        <v>1257</v>
      </c>
      <c r="J851" s="325"/>
      <c r="K851" s="335">
        <f t="shared" si="26"/>
        <v>0</v>
      </c>
      <c r="L851" s="335">
        <v>0</v>
      </c>
      <c r="M851" s="335"/>
      <c r="N851" s="335">
        <f t="shared" si="27"/>
        <v>0</v>
      </c>
      <c r="O851" s="335">
        <v>0</v>
      </c>
      <c r="P851" s="335"/>
    </row>
    <row r="852" spans="1:16">
      <c r="A852" s="177">
        <v>350</v>
      </c>
      <c r="B852" s="326">
        <v>200</v>
      </c>
      <c r="C852" s="326">
        <v>100</v>
      </c>
      <c r="D852" s="326">
        <v>0</v>
      </c>
      <c r="E852" s="326">
        <v>0</v>
      </c>
      <c r="F852" s="326">
        <v>0</v>
      </c>
      <c r="G852" s="330" t="s">
        <v>3030</v>
      </c>
      <c r="H852" s="330" t="s">
        <v>1258</v>
      </c>
      <c r="I852" s="326"/>
      <c r="J852" s="326"/>
      <c r="K852" s="341">
        <f t="shared" si="26"/>
        <v>65046.57</v>
      </c>
      <c r="L852" s="341">
        <v>65046.57</v>
      </c>
      <c r="M852" s="341"/>
      <c r="N852" s="341">
        <f t="shared" si="27"/>
        <v>32636.89</v>
      </c>
      <c r="O852" s="341">
        <v>32636.89</v>
      </c>
      <c r="P852" s="341"/>
    </row>
    <row r="853" spans="1:16">
      <c r="A853" s="177">
        <v>350</v>
      </c>
      <c r="B853" s="326">
        <v>200</v>
      </c>
      <c r="C853" s="326">
        <v>200</v>
      </c>
      <c r="D853" s="326">
        <v>0</v>
      </c>
      <c r="E853" s="326">
        <v>0</v>
      </c>
      <c r="F853" s="326">
        <v>0</v>
      </c>
      <c r="G853" s="330" t="s">
        <v>3031</v>
      </c>
      <c r="H853" s="330" t="s">
        <v>1259</v>
      </c>
      <c r="I853" s="326"/>
      <c r="J853" s="326"/>
      <c r="K853" s="341">
        <f t="shared" si="26"/>
        <v>1816851.21</v>
      </c>
      <c r="L853" s="341">
        <v>1816851.21</v>
      </c>
      <c r="M853" s="341"/>
      <c r="N853" s="341">
        <f t="shared" si="27"/>
        <v>1789963.79</v>
      </c>
      <c r="O853" s="341">
        <v>1789963.79</v>
      </c>
      <c r="P853" s="341"/>
    </row>
    <row r="854" spans="1:16">
      <c r="A854" s="177">
        <v>350</v>
      </c>
      <c r="B854" s="326">
        <v>200</v>
      </c>
      <c r="C854" s="326">
        <v>300</v>
      </c>
      <c r="D854" s="326">
        <v>0</v>
      </c>
      <c r="E854" s="326">
        <v>0</v>
      </c>
      <c r="F854" s="326">
        <v>0</v>
      </c>
      <c r="G854" s="330" t="s">
        <v>3032</v>
      </c>
      <c r="H854" s="330" t="s">
        <v>1260</v>
      </c>
      <c r="I854" s="326"/>
      <c r="J854" s="326"/>
      <c r="K854" s="341">
        <f t="shared" si="26"/>
        <v>92337.39</v>
      </c>
      <c r="L854" s="341">
        <v>92337.39</v>
      </c>
      <c r="M854" s="341"/>
      <c r="N854" s="341">
        <f t="shared" si="27"/>
        <v>156020.92000000001</v>
      </c>
      <c r="O854" s="341">
        <v>156020.92000000001</v>
      </c>
      <c r="P854" s="341"/>
    </row>
    <row r="855" spans="1:16">
      <c r="A855" s="177">
        <v>350</v>
      </c>
      <c r="B855" s="326">
        <v>200</v>
      </c>
      <c r="C855" s="326">
        <v>400</v>
      </c>
      <c r="D855" s="326">
        <v>0</v>
      </c>
      <c r="E855" s="326">
        <v>0</v>
      </c>
      <c r="F855" s="326">
        <v>0</v>
      </c>
      <c r="G855" s="330" t="s">
        <v>3033</v>
      </c>
      <c r="H855" s="330" t="s">
        <v>1261</v>
      </c>
      <c r="I855" s="326"/>
      <c r="J855" s="326"/>
      <c r="K855" s="341">
        <f t="shared" si="26"/>
        <v>1687.5</v>
      </c>
      <c r="L855" s="341">
        <v>1687.5</v>
      </c>
      <c r="M855" s="341"/>
      <c r="N855" s="341">
        <f t="shared" si="27"/>
        <v>3375</v>
      </c>
      <c r="O855" s="341">
        <v>3375</v>
      </c>
      <c r="P855" s="341"/>
    </row>
    <row r="856" spans="1:16">
      <c r="A856" s="177">
        <v>350</v>
      </c>
      <c r="B856" s="326">
        <v>200</v>
      </c>
      <c r="C856" s="326">
        <v>500</v>
      </c>
      <c r="D856" s="326">
        <v>0</v>
      </c>
      <c r="E856" s="326">
        <v>0</v>
      </c>
      <c r="F856" s="326">
        <v>0</v>
      </c>
      <c r="G856" s="330" t="s">
        <v>3034</v>
      </c>
      <c r="H856" s="330" t="s">
        <v>1262</v>
      </c>
      <c r="I856" s="326"/>
      <c r="J856" s="326"/>
      <c r="K856" s="341">
        <f t="shared" si="26"/>
        <v>272271.45</v>
      </c>
      <c r="L856" s="341">
        <v>272271.45</v>
      </c>
      <c r="M856" s="341"/>
      <c r="N856" s="341">
        <f t="shared" si="27"/>
        <v>264743.78999999998</v>
      </c>
      <c r="O856" s="341">
        <v>264743.78999999998</v>
      </c>
      <c r="P856" s="341"/>
    </row>
    <row r="857" spans="1:16">
      <c r="A857" s="403">
        <v>355</v>
      </c>
      <c r="B857" s="404">
        <v>0</v>
      </c>
      <c r="C857" s="404">
        <v>0</v>
      </c>
      <c r="D857" s="404">
        <v>0</v>
      </c>
      <c r="E857" s="404">
        <v>0</v>
      </c>
      <c r="F857" s="404">
        <v>0</v>
      </c>
      <c r="G857" s="339">
        <v>355</v>
      </c>
      <c r="H857" s="339" t="s">
        <v>1263</v>
      </c>
      <c r="I857" s="55" t="s">
        <v>1264</v>
      </c>
      <c r="J857" s="55"/>
      <c r="K857" s="335">
        <f t="shared" si="26"/>
        <v>0</v>
      </c>
      <c r="L857" s="335">
        <v>0</v>
      </c>
      <c r="M857" s="335"/>
      <c r="N857" s="335">
        <f t="shared" si="27"/>
        <v>0</v>
      </c>
      <c r="O857" s="335">
        <v>0</v>
      </c>
      <c r="P857" s="335"/>
    </row>
    <row r="858" spans="1:16">
      <c r="A858" s="177">
        <v>355</v>
      </c>
      <c r="B858" s="326">
        <v>100</v>
      </c>
      <c r="C858" s="326">
        <v>0</v>
      </c>
      <c r="D858" s="326">
        <v>0</v>
      </c>
      <c r="E858" s="326">
        <v>0</v>
      </c>
      <c r="F858" s="326">
        <v>0</v>
      </c>
      <c r="G858" s="331" t="s">
        <v>3035</v>
      </c>
      <c r="H858" s="331" t="s">
        <v>1265</v>
      </c>
      <c r="I858" s="326" t="s">
        <v>1266</v>
      </c>
      <c r="J858" s="325"/>
      <c r="K858" s="335">
        <f t="shared" si="26"/>
        <v>0</v>
      </c>
      <c r="L858" s="335">
        <v>0</v>
      </c>
      <c r="M858" s="335"/>
      <c r="N858" s="335">
        <f t="shared" si="27"/>
        <v>0</v>
      </c>
      <c r="O858" s="335">
        <v>0</v>
      </c>
      <c r="P858" s="335"/>
    </row>
    <row r="859" spans="1:16">
      <c r="A859" s="177">
        <v>355</v>
      </c>
      <c r="B859" s="326">
        <v>100</v>
      </c>
      <c r="C859" s="326">
        <v>100</v>
      </c>
      <c r="D859" s="326">
        <v>0</v>
      </c>
      <c r="E859" s="326">
        <v>0</v>
      </c>
      <c r="F859" s="326">
        <v>0</v>
      </c>
      <c r="G859" s="348" t="s">
        <v>3036</v>
      </c>
      <c r="H859" s="331" t="s">
        <v>1267</v>
      </c>
      <c r="I859" s="326"/>
      <c r="J859" s="325"/>
      <c r="K859" s="335">
        <f t="shared" si="26"/>
        <v>0</v>
      </c>
      <c r="L859" s="335">
        <v>0</v>
      </c>
      <c r="M859" s="335"/>
      <c r="N859" s="335">
        <f t="shared" si="27"/>
        <v>0</v>
      </c>
      <c r="O859" s="335">
        <v>0</v>
      </c>
      <c r="P859" s="335"/>
    </row>
    <row r="860" spans="1:16">
      <c r="A860" s="177">
        <v>355</v>
      </c>
      <c r="B860" s="326">
        <v>100</v>
      </c>
      <c r="C860" s="326">
        <v>100</v>
      </c>
      <c r="D860" s="326">
        <v>100</v>
      </c>
      <c r="E860" s="326">
        <v>0</v>
      </c>
      <c r="F860" s="326">
        <v>0</v>
      </c>
      <c r="G860" s="347" t="s">
        <v>3037</v>
      </c>
      <c r="H860" s="330" t="s">
        <v>1268</v>
      </c>
      <c r="I860" s="326"/>
      <c r="J860" s="326"/>
      <c r="K860" s="341">
        <f t="shared" si="26"/>
        <v>0</v>
      </c>
      <c r="L860" s="341">
        <v>0</v>
      </c>
      <c r="M860" s="341"/>
      <c r="N860" s="341">
        <f t="shared" si="27"/>
        <v>0</v>
      </c>
      <c r="O860" s="341">
        <v>0</v>
      </c>
      <c r="P860" s="341"/>
    </row>
    <row r="861" spans="1:16">
      <c r="A861" s="177">
        <v>355</v>
      </c>
      <c r="B861" s="326">
        <v>100</v>
      </c>
      <c r="C861" s="326">
        <v>100</v>
      </c>
      <c r="D861" s="326">
        <v>200</v>
      </c>
      <c r="E861" s="326">
        <v>0</v>
      </c>
      <c r="F861" s="326">
        <v>0</v>
      </c>
      <c r="G861" s="347" t="s">
        <v>3038</v>
      </c>
      <c r="H861" s="330" t="s">
        <v>1269</v>
      </c>
      <c r="I861" s="326"/>
      <c r="J861" s="326"/>
      <c r="K861" s="341">
        <f t="shared" si="26"/>
        <v>0</v>
      </c>
      <c r="L861" s="341">
        <v>0</v>
      </c>
      <c r="M861" s="341"/>
      <c r="N861" s="341">
        <f t="shared" si="27"/>
        <v>0</v>
      </c>
      <c r="O861" s="341">
        <v>0</v>
      </c>
      <c r="P861" s="341"/>
    </row>
    <row r="862" spans="1:16" ht="25.5">
      <c r="A862" s="177">
        <v>355</v>
      </c>
      <c r="B862" s="326">
        <v>100</v>
      </c>
      <c r="C862" s="326">
        <v>100</v>
      </c>
      <c r="D862" s="326">
        <v>300</v>
      </c>
      <c r="E862" s="326">
        <v>0</v>
      </c>
      <c r="F862" s="326">
        <v>0</v>
      </c>
      <c r="G862" s="347" t="s">
        <v>3039</v>
      </c>
      <c r="H862" s="330" t="s">
        <v>1270</v>
      </c>
      <c r="I862" s="326"/>
      <c r="J862" s="326"/>
      <c r="K862" s="341">
        <f t="shared" si="26"/>
        <v>0</v>
      </c>
      <c r="L862" s="341">
        <v>0</v>
      </c>
      <c r="M862" s="341"/>
      <c r="N862" s="341">
        <f t="shared" si="27"/>
        <v>0</v>
      </c>
      <c r="O862" s="341">
        <v>0</v>
      </c>
      <c r="P862" s="341"/>
    </row>
    <row r="863" spans="1:16">
      <c r="A863" s="177">
        <v>355</v>
      </c>
      <c r="B863" s="326">
        <v>100</v>
      </c>
      <c r="C863" s="326">
        <v>100</v>
      </c>
      <c r="D863" s="326">
        <v>400</v>
      </c>
      <c r="E863" s="326">
        <v>0</v>
      </c>
      <c r="F863" s="326">
        <v>0</v>
      </c>
      <c r="G863" s="347" t="s">
        <v>3040</v>
      </c>
      <c r="H863" s="330" t="s">
        <v>1271</v>
      </c>
      <c r="I863" s="326"/>
      <c r="J863" s="326"/>
      <c r="K863" s="341">
        <f t="shared" si="26"/>
        <v>0</v>
      </c>
      <c r="L863" s="341">
        <v>0</v>
      </c>
      <c r="M863" s="341"/>
      <c r="N863" s="341">
        <f t="shared" si="27"/>
        <v>0</v>
      </c>
      <c r="O863" s="341">
        <v>0</v>
      </c>
      <c r="P863" s="341"/>
    </row>
    <row r="864" spans="1:16">
      <c r="A864" s="177">
        <v>355</v>
      </c>
      <c r="B864" s="326">
        <v>100</v>
      </c>
      <c r="C864" s="326">
        <v>200</v>
      </c>
      <c r="D864" s="326">
        <v>0</v>
      </c>
      <c r="E864" s="326">
        <v>0</v>
      </c>
      <c r="F864" s="326">
        <v>0</v>
      </c>
      <c r="G864" s="348" t="s">
        <v>3041</v>
      </c>
      <c r="H864" s="331" t="s">
        <v>1272</v>
      </c>
      <c r="I864" s="326"/>
      <c r="J864" s="325"/>
      <c r="K864" s="335">
        <f t="shared" si="26"/>
        <v>0</v>
      </c>
      <c r="L864" s="335">
        <v>0</v>
      </c>
      <c r="M864" s="335"/>
      <c r="N864" s="335">
        <f t="shared" si="27"/>
        <v>0</v>
      </c>
      <c r="O864" s="335">
        <v>0</v>
      </c>
      <c r="P864" s="335"/>
    </row>
    <row r="865" spans="1:16">
      <c r="A865" s="177">
        <v>355</v>
      </c>
      <c r="B865" s="326">
        <v>100</v>
      </c>
      <c r="C865" s="326">
        <v>200</v>
      </c>
      <c r="D865" s="326">
        <v>50</v>
      </c>
      <c r="E865" s="326">
        <v>0</v>
      </c>
      <c r="F865" s="326">
        <v>0</v>
      </c>
      <c r="G865" s="347" t="s">
        <v>3042</v>
      </c>
      <c r="H865" s="330" t="s">
        <v>1273</v>
      </c>
      <c r="I865" s="326"/>
      <c r="J865" s="326"/>
      <c r="K865" s="341">
        <f t="shared" si="26"/>
        <v>0</v>
      </c>
      <c r="L865" s="341">
        <v>0</v>
      </c>
      <c r="M865" s="341"/>
      <c r="N865" s="341">
        <f t="shared" si="27"/>
        <v>0</v>
      </c>
      <c r="O865" s="341">
        <v>0</v>
      </c>
      <c r="P865" s="341"/>
    </row>
    <row r="866" spans="1:16">
      <c r="A866" s="177">
        <v>355</v>
      </c>
      <c r="B866" s="326">
        <v>100</v>
      </c>
      <c r="C866" s="326">
        <v>200</v>
      </c>
      <c r="D866" s="326">
        <v>100</v>
      </c>
      <c r="E866" s="326">
        <v>0</v>
      </c>
      <c r="F866" s="326">
        <v>0</v>
      </c>
      <c r="G866" s="347" t="s">
        <v>3043</v>
      </c>
      <c r="H866" s="330" t="s">
        <v>1274</v>
      </c>
      <c r="I866" s="326"/>
      <c r="J866" s="326"/>
      <c r="K866" s="341">
        <f t="shared" si="26"/>
        <v>0</v>
      </c>
      <c r="L866" s="341">
        <v>0</v>
      </c>
      <c r="M866" s="341"/>
      <c r="N866" s="341">
        <f t="shared" si="27"/>
        <v>0</v>
      </c>
      <c r="O866" s="341">
        <v>0</v>
      </c>
      <c r="P866" s="341"/>
    </row>
    <row r="867" spans="1:16">
      <c r="A867" s="177">
        <v>355</v>
      </c>
      <c r="B867" s="326">
        <v>100</v>
      </c>
      <c r="C867" s="326">
        <v>200</v>
      </c>
      <c r="D867" s="326">
        <v>150</v>
      </c>
      <c r="E867" s="326">
        <v>0</v>
      </c>
      <c r="F867" s="326">
        <v>0</v>
      </c>
      <c r="G867" s="347" t="s">
        <v>3044</v>
      </c>
      <c r="H867" s="330" t="s">
        <v>1275</v>
      </c>
      <c r="I867" s="326"/>
      <c r="J867" s="326"/>
      <c r="K867" s="341">
        <f t="shared" si="26"/>
        <v>0</v>
      </c>
      <c r="L867" s="341">
        <v>0</v>
      </c>
      <c r="M867" s="341"/>
      <c r="N867" s="341">
        <f t="shared" si="27"/>
        <v>0</v>
      </c>
      <c r="O867" s="341">
        <v>0</v>
      </c>
      <c r="P867" s="341"/>
    </row>
    <row r="868" spans="1:16">
      <c r="A868" s="177">
        <v>355</v>
      </c>
      <c r="B868" s="326">
        <v>100</v>
      </c>
      <c r="C868" s="326">
        <v>200</v>
      </c>
      <c r="D868" s="326">
        <v>200</v>
      </c>
      <c r="E868" s="326">
        <v>0</v>
      </c>
      <c r="F868" s="326">
        <v>0</v>
      </c>
      <c r="G868" s="347" t="s">
        <v>3045</v>
      </c>
      <c r="H868" s="330" t="s">
        <v>1276</v>
      </c>
      <c r="I868" s="326"/>
      <c r="J868" s="326"/>
      <c r="K868" s="341">
        <f t="shared" si="26"/>
        <v>0</v>
      </c>
      <c r="L868" s="341">
        <v>0</v>
      </c>
      <c r="M868" s="341"/>
      <c r="N868" s="341">
        <f t="shared" si="27"/>
        <v>0</v>
      </c>
      <c r="O868" s="341">
        <v>0</v>
      </c>
      <c r="P868" s="341"/>
    </row>
    <row r="869" spans="1:16">
      <c r="A869" s="177">
        <v>355</v>
      </c>
      <c r="B869" s="326">
        <v>100</v>
      </c>
      <c r="C869" s="326">
        <v>200</v>
      </c>
      <c r="D869" s="326">
        <v>250</v>
      </c>
      <c r="E869" s="326">
        <v>0</v>
      </c>
      <c r="F869" s="326">
        <v>0</v>
      </c>
      <c r="G869" s="347" t="s">
        <v>3046</v>
      </c>
      <c r="H869" s="330" t="s">
        <v>1277</v>
      </c>
      <c r="I869" s="326"/>
      <c r="J869" s="326"/>
      <c r="K869" s="341">
        <f t="shared" si="26"/>
        <v>0</v>
      </c>
      <c r="L869" s="341">
        <v>0</v>
      </c>
      <c r="M869" s="341"/>
      <c r="N869" s="341">
        <f t="shared" si="27"/>
        <v>0</v>
      </c>
      <c r="O869" s="341">
        <v>0</v>
      </c>
      <c r="P869" s="341"/>
    </row>
    <row r="870" spans="1:16">
      <c r="A870" s="177">
        <v>355</v>
      </c>
      <c r="B870" s="326">
        <v>100</v>
      </c>
      <c r="C870" s="326">
        <v>200</v>
      </c>
      <c r="D870" s="326">
        <v>300</v>
      </c>
      <c r="E870" s="326">
        <v>0</v>
      </c>
      <c r="F870" s="326">
        <v>0</v>
      </c>
      <c r="G870" s="347" t="s">
        <v>3047</v>
      </c>
      <c r="H870" s="330" t="s">
        <v>1278</v>
      </c>
      <c r="I870" s="326"/>
      <c r="J870" s="326"/>
      <c r="K870" s="341">
        <f t="shared" si="26"/>
        <v>0</v>
      </c>
      <c r="L870" s="341">
        <v>0</v>
      </c>
      <c r="M870" s="341"/>
      <c r="N870" s="341">
        <f t="shared" si="27"/>
        <v>0</v>
      </c>
      <c r="O870" s="341">
        <v>0</v>
      </c>
      <c r="P870" s="341"/>
    </row>
    <row r="871" spans="1:16">
      <c r="A871" s="177">
        <v>355</v>
      </c>
      <c r="B871" s="326">
        <v>100</v>
      </c>
      <c r="C871" s="326">
        <v>200</v>
      </c>
      <c r="D871" s="326">
        <v>350</v>
      </c>
      <c r="E871" s="326">
        <v>0</v>
      </c>
      <c r="F871" s="326">
        <v>0</v>
      </c>
      <c r="G871" s="347" t="s">
        <v>3048</v>
      </c>
      <c r="H871" s="330" t="s">
        <v>1279</v>
      </c>
      <c r="I871" s="326"/>
      <c r="J871" s="326"/>
      <c r="K871" s="341">
        <f t="shared" si="26"/>
        <v>0</v>
      </c>
      <c r="L871" s="341">
        <v>0</v>
      </c>
      <c r="M871" s="341"/>
      <c r="N871" s="341">
        <f t="shared" si="27"/>
        <v>0</v>
      </c>
      <c r="O871" s="341">
        <v>0</v>
      </c>
      <c r="P871" s="341"/>
    </row>
    <row r="872" spans="1:16">
      <c r="A872" s="177">
        <v>355</v>
      </c>
      <c r="B872" s="326">
        <v>100</v>
      </c>
      <c r="C872" s="326">
        <v>200</v>
      </c>
      <c r="D872" s="326">
        <v>400</v>
      </c>
      <c r="E872" s="326">
        <v>0</v>
      </c>
      <c r="F872" s="326">
        <v>0</v>
      </c>
      <c r="G872" s="347" t="s">
        <v>3049</v>
      </c>
      <c r="H872" s="330" t="s">
        <v>1280</v>
      </c>
      <c r="I872" s="326"/>
      <c r="J872" s="326"/>
      <c r="K872" s="341">
        <f t="shared" si="26"/>
        <v>0</v>
      </c>
      <c r="L872" s="341">
        <v>0</v>
      </c>
      <c r="M872" s="341"/>
      <c r="N872" s="341">
        <f t="shared" si="27"/>
        <v>0</v>
      </c>
      <c r="O872" s="341">
        <v>0</v>
      </c>
      <c r="P872" s="341"/>
    </row>
    <row r="873" spans="1:16">
      <c r="A873" s="177">
        <v>355</v>
      </c>
      <c r="B873" s="326">
        <v>100</v>
      </c>
      <c r="C873" s="326">
        <v>200</v>
      </c>
      <c r="D873" s="326">
        <v>450</v>
      </c>
      <c r="E873" s="326">
        <v>0</v>
      </c>
      <c r="F873" s="326">
        <v>0</v>
      </c>
      <c r="G873" s="347" t="s">
        <v>3050</v>
      </c>
      <c r="H873" s="330" t="s">
        <v>1281</v>
      </c>
      <c r="I873" s="326"/>
      <c r="J873" s="326"/>
      <c r="K873" s="341">
        <f t="shared" si="26"/>
        <v>0</v>
      </c>
      <c r="L873" s="341">
        <v>0</v>
      </c>
      <c r="M873" s="341"/>
      <c r="N873" s="341">
        <f t="shared" si="27"/>
        <v>0</v>
      </c>
      <c r="O873" s="341">
        <v>0</v>
      </c>
      <c r="P873" s="341"/>
    </row>
    <row r="874" spans="1:16">
      <c r="A874" s="177">
        <v>355</v>
      </c>
      <c r="B874" s="326">
        <v>100</v>
      </c>
      <c r="C874" s="326">
        <v>200</v>
      </c>
      <c r="D874" s="326">
        <v>500</v>
      </c>
      <c r="E874" s="326">
        <v>0</v>
      </c>
      <c r="F874" s="326">
        <v>0</v>
      </c>
      <c r="G874" s="347" t="s">
        <v>3051</v>
      </c>
      <c r="H874" s="330" t="s">
        <v>1282</v>
      </c>
      <c r="I874" s="326"/>
      <c r="J874" s="326"/>
      <c r="K874" s="341">
        <f t="shared" si="26"/>
        <v>0</v>
      </c>
      <c r="L874" s="341">
        <v>0</v>
      </c>
      <c r="M874" s="341"/>
      <c r="N874" s="341">
        <f t="shared" si="27"/>
        <v>0</v>
      </c>
      <c r="O874" s="341">
        <v>0</v>
      </c>
      <c r="P874" s="341"/>
    </row>
    <row r="875" spans="1:16">
      <c r="A875" s="177">
        <v>355</v>
      </c>
      <c r="B875" s="326">
        <v>200</v>
      </c>
      <c r="C875" s="326">
        <v>0</v>
      </c>
      <c r="D875" s="326">
        <v>0</v>
      </c>
      <c r="E875" s="326">
        <v>0</v>
      </c>
      <c r="F875" s="326">
        <v>0</v>
      </c>
      <c r="G875" s="331" t="s">
        <v>3052</v>
      </c>
      <c r="H875" s="331" t="s">
        <v>1283</v>
      </c>
      <c r="I875" s="326" t="s">
        <v>1284</v>
      </c>
      <c r="J875" s="325"/>
      <c r="K875" s="335">
        <f t="shared" si="26"/>
        <v>0</v>
      </c>
      <c r="L875" s="335">
        <v>0</v>
      </c>
      <c r="M875" s="335"/>
      <c r="N875" s="335">
        <f t="shared" si="27"/>
        <v>0</v>
      </c>
      <c r="O875" s="335">
        <v>0</v>
      </c>
      <c r="P875" s="335"/>
    </row>
    <row r="876" spans="1:16">
      <c r="A876" s="177">
        <v>355</v>
      </c>
      <c r="B876" s="326">
        <v>200</v>
      </c>
      <c r="C876" s="326">
        <v>100</v>
      </c>
      <c r="D876" s="326">
        <v>0</v>
      </c>
      <c r="E876" s="326">
        <v>0</v>
      </c>
      <c r="F876" s="326">
        <v>0</v>
      </c>
      <c r="G876" s="347" t="s">
        <v>3053</v>
      </c>
      <c r="H876" s="330" t="s">
        <v>1285</v>
      </c>
      <c r="I876" s="326"/>
      <c r="J876" s="326"/>
      <c r="K876" s="341">
        <f t="shared" si="26"/>
        <v>0</v>
      </c>
      <c r="L876" s="341">
        <v>0</v>
      </c>
      <c r="M876" s="341"/>
      <c r="N876" s="341">
        <f t="shared" si="27"/>
        <v>0</v>
      </c>
      <c r="O876" s="341">
        <v>0</v>
      </c>
      <c r="P876" s="341"/>
    </row>
    <row r="877" spans="1:16">
      <c r="A877" s="177">
        <v>355</v>
      </c>
      <c r="B877" s="326">
        <v>200</v>
      </c>
      <c r="C877" s="326">
        <v>101</v>
      </c>
      <c r="D877" s="326">
        <v>0</v>
      </c>
      <c r="E877" s="326">
        <v>0</v>
      </c>
      <c r="F877" s="326">
        <v>0</v>
      </c>
      <c r="G877" s="347" t="s">
        <v>3054</v>
      </c>
      <c r="H877" s="330" t="s">
        <v>1286</v>
      </c>
      <c r="I877" s="326"/>
      <c r="J877" s="326"/>
      <c r="K877" s="341">
        <f t="shared" si="26"/>
        <v>0</v>
      </c>
      <c r="L877" s="341">
        <v>0</v>
      </c>
      <c r="M877" s="341"/>
      <c r="N877" s="341">
        <f t="shared" si="27"/>
        <v>0</v>
      </c>
      <c r="O877" s="341">
        <v>0</v>
      </c>
      <c r="P877" s="341"/>
    </row>
    <row r="878" spans="1:16">
      <c r="A878" s="177">
        <v>355</v>
      </c>
      <c r="B878" s="326">
        <v>200</v>
      </c>
      <c r="C878" s="326">
        <v>102</v>
      </c>
      <c r="D878" s="326">
        <v>0</v>
      </c>
      <c r="E878" s="326">
        <v>0</v>
      </c>
      <c r="F878" s="326">
        <v>0</v>
      </c>
      <c r="G878" s="347" t="s">
        <v>3055</v>
      </c>
      <c r="H878" s="330" t="s">
        <v>1287</v>
      </c>
      <c r="I878" s="326"/>
      <c r="J878" s="326"/>
      <c r="K878" s="341">
        <f t="shared" si="26"/>
        <v>0</v>
      </c>
      <c r="L878" s="341">
        <v>0</v>
      </c>
      <c r="M878" s="341"/>
      <c r="N878" s="341">
        <f t="shared" si="27"/>
        <v>0</v>
      </c>
      <c r="O878" s="341">
        <v>0</v>
      </c>
      <c r="P878" s="341"/>
    </row>
    <row r="879" spans="1:16">
      <c r="A879" s="177">
        <v>355</v>
      </c>
      <c r="B879" s="326">
        <v>200</v>
      </c>
      <c r="C879" s="326">
        <v>103</v>
      </c>
      <c r="D879" s="326">
        <v>0</v>
      </c>
      <c r="E879" s="326">
        <v>0</v>
      </c>
      <c r="F879" s="326">
        <v>0</v>
      </c>
      <c r="G879" s="347" t="s">
        <v>3056</v>
      </c>
      <c r="H879" s="330" t="s">
        <v>1288</v>
      </c>
      <c r="I879" s="326"/>
      <c r="J879" s="326"/>
      <c r="K879" s="341">
        <f t="shared" si="26"/>
        <v>0</v>
      </c>
      <c r="L879" s="341">
        <v>0</v>
      </c>
      <c r="M879" s="341"/>
      <c r="N879" s="341">
        <f t="shared" si="27"/>
        <v>0</v>
      </c>
      <c r="O879" s="341">
        <v>0</v>
      </c>
      <c r="P879" s="341"/>
    </row>
    <row r="880" spans="1:16" ht="25.5">
      <c r="A880" s="177">
        <v>355</v>
      </c>
      <c r="B880" s="326">
        <v>200</v>
      </c>
      <c r="C880" s="326">
        <v>200</v>
      </c>
      <c r="D880" s="326">
        <v>0</v>
      </c>
      <c r="E880" s="326">
        <v>0</v>
      </c>
      <c r="F880" s="326">
        <v>0</v>
      </c>
      <c r="G880" s="347" t="s">
        <v>3057</v>
      </c>
      <c r="H880" s="330" t="s">
        <v>1289</v>
      </c>
      <c r="I880" s="326"/>
      <c r="J880" s="326"/>
      <c r="K880" s="341">
        <f t="shared" si="26"/>
        <v>0</v>
      </c>
      <c r="L880" s="341">
        <v>0</v>
      </c>
      <c r="M880" s="341"/>
      <c r="N880" s="341">
        <f t="shared" si="27"/>
        <v>0</v>
      </c>
      <c r="O880" s="341">
        <v>0</v>
      </c>
      <c r="P880" s="341"/>
    </row>
    <row r="881" spans="1:16">
      <c r="A881" s="177">
        <v>355</v>
      </c>
      <c r="B881" s="326">
        <v>200</v>
      </c>
      <c r="C881" s="326">
        <v>201</v>
      </c>
      <c r="D881" s="326">
        <v>0</v>
      </c>
      <c r="E881" s="326">
        <v>0</v>
      </c>
      <c r="F881" s="326">
        <v>0</v>
      </c>
      <c r="G881" s="347" t="s">
        <v>3058</v>
      </c>
      <c r="H881" s="330" t="s">
        <v>1290</v>
      </c>
      <c r="I881" s="326"/>
      <c r="J881" s="326"/>
      <c r="K881" s="341">
        <f t="shared" si="26"/>
        <v>0</v>
      </c>
      <c r="L881" s="341">
        <v>0</v>
      </c>
      <c r="M881" s="341"/>
      <c r="N881" s="341">
        <f t="shared" si="27"/>
        <v>0</v>
      </c>
      <c r="O881" s="341">
        <v>0</v>
      </c>
      <c r="P881" s="341"/>
    </row>
    <row r="882" spans="1:16" ht="25.5">
      <c r="A882" s="177">
        <v>355</v>
      </c>
      <c r="B882" s="326">
        <v>200</v>
      </c>
      <c r="C882" s="326">
        <v>202</v>
      </c>
      <c r="D882" s="326">
        <v>0</v>
      </c>
      <c r="E882" s="326">
        <v>0</v>
      </c>
      <c r="F882" s="326">
        <v>0</v>
      </c>
      <c r="G882" s="347" t="s">
        <v>3059</v>
      </c>
      <c r="H882" s="330" t="s">
        <v>1291</v>
      </c>
      <c r="I882" s="326"/>
      <c r="J882" s="326"/>
      <c r="K882" s="341">
        <f t="shared" si="26"/>
        <v>0</v>
      </c>
      <c r="L882" s="341">
        <v>0</v>
      </c>
      <c r="M882" s="341"/>
      <c r="N882" s="341">
        <f t="shared" si="27"/>
        <v>0</v>
      </c>
      <c r="O882" s="341">
        <v>0</v>
      </c>
      <c r="P882" s="341"/>
    </row>
    <row r="883" spans="1:16" ht="25.5">
      <c r="A883" s="177">
        <v>355</v>
      </c>
      <c r="B883" s="326">
        <v>200</v>
      </c>
      <c r="C883" s="326">
        <v>203</v>
      </c>
      <c r="D883" s="326">
        <v>0</v>
      </c>
      <c r="E883" s="326">
        <v>0</v>
      </c>
      <c r="F883" s="326">
        <v>0</v>
      </c>
      <c r="G883" s="347" t="s">
        <v>3060</v>
      </c>
      <c r="H883" s="330" t="s">
        <v>1292</v>
      </c>
      <c r="I883" s="326"/>
      <c r="J883" s="326"/>
      <c r="K883" s="341">
        <f t="shared" si="26"/>
        <v>0</v>
      </c>
      <c r="L883" s="341">
        <v>0</v>
      </c>
      <c r="M883" s="341"/>
      <c r="N883" s="341">
        <f t="shared" si="27"/>
        <v>0</v>
      </c>
      <c r="O883" s="341">
        <v>0</v>
      </c>
      <c r="P883" s="341"/>
    </row>
    <row r="884" spans="1:16" ht="25.5">
      <c r="A884" s="177">
        <v>355</v>
      </c>
      <c r="B884" s="326">
        <v>200</v>
      </c>
      <c r="C884" s="326">
        <v>204</v>
      </c>
      <c r="D884" s="326">
        <v>0</v>
      </c>
      <c r="E884" s="326">
        <v>0</v>
      </c>
      <c r="F884" s="326">
        <v>0</v>
      </c>
      <c r="G884" s="347" t="s">
        <v>3061</v>
      </c>
      <c r="H884" s="330" t="s">
        <v>1293</v>
      </c>
      <c r="I884" s="326"/>
      <c r="J884" s="326"/>
      <c r="K884" s="341">
        <f t="shared" si="26"/>
        <v>0</v>
      </c>
      <c r="L884" s="341">
        <v>0</v>
      </c>
      <c r="M884" s="341"/>
      <c r="N884" s="341">
        <f t="shared" si="27"/>
        <v>0</v>
      </c>
      <c r="O884" s="341">
        <v>0</v>
      </c>
      <c r="P884" s="341"/>
    </row>
    <row r="885" spans="1:16" ht="25.5">
      <c r="A885" s="177">
        <v>355</v>
      </c>
      <c r="B885" s="326">
        <v>200</v>
      </c>
      <c r="C885" s="326">
        <v>205</v>
      </c>
      <c r="D885" s="326">
        <v>0</v>
      </c>
      <c r="E885" s="326">
        <v>0</v>
      </c>
      <c r="F885" s="326">
        <v>0</v>
      </c>
      <c r="G885" s="347" t="s">
        <v>3062</v>
      </c>
      <c r="H885" s="330" t="s">
        <v>1294</v>
      </c>
      <c r="I885" s="326"/>
      <c r="J885" s="326"/>
      <c r="K885" s="341">
        <f t="shared" si="26"/>
        <v>0</v>
      </c>
      <c r="L885" s="341">
        <v>0</v>
      </c>
      <c r="M885" s="341"/>
      <c r="N885" s="341">
        <f t="shared" si="27"/>
        <v>0</v>
      </c>
      <c r="O885" s="341">
        <v>0</v>
      </c>
      <c r="P885" s="341"/>
    </row>
    <row r="886" spans="1:16" ht="25.5">
      <c r="A886" s="177">
        <v>355</v>
      </c>
      <c r="B886" s="326">
        <v>200</v>
      </c>
      <c r="C886" s="326">
        <v>206</v>
      </c>
      <c r="D886" s="326">
        <v>0</v>
      </c>
      <c r="E886" s="326">
        <v>0</v>
      </c>
      <c r="F886" s="326">
        <v>0</v>
      </c>
      <c r="G886" s="347" t="s">
        <v>3063</v>
      </c>
      <c r="H886" s="330" t="s">
        <v>1295</v>
      </c>
      <c r="I886" s="326"/>
      <c r="J886" s="326"/>
      <c r="K886" s="341">
        <f t="shared" si="26"/>
        <v>0</v>
      </c>
      <c r="L886" s="341">
        <v>0</v>
      </c>
      <c r="M886" s="341"/>
      <c r="N886" s="341">
        <f t="shared" si="27"/>
        <v>0</v>
      </c>
      <c r="O886" s="341">
        <v>0</v>
      </c>
      <c r="P886" s="341"/>
    </row>
    <row r="887" spans="1:16" ht="25.5">
      <c r="A887" s="177">
        <v>355</v>
      </c>
      <c r="B887" s="326">
        <v>200</v>
      </c>
      <c r="C887" s="326">
        <v>207</v>
      </c>
      <c r="D887" s="326">
        <v>0</v>
      </c>
      <c r="E887" s="326">
        <v>0</v>
      </c>
      <c r="F887" s="326">
        <v>0</v>
      </c>
      <c r="G887" s="347" t="s">
        <v>3064</v>
      </c>
      <c r="H887" s="330" t="s">
        <v>1296</v>
      </c>
      <c r="I887" s="326"/>
      <c r="J887" s="326"/>
      <c r="K887" s="341">
        <f t="shared" ref="K887:K951" si="28">+L887+M887</f>
        <v>0</v>
      </c>
      <c r="L887" s="341">
        <v>0</v>
      </c>
      <c r="M887" s="341"/>
      <c r="N887" s="341">
        <f t="shared" si="27"/>
        <v>0</v>
      </c>
      <c r="O887" s="341">
        <v>0</v>
      </c>
      <c r="P887" s="341"/>
    </row>
    <row r="888" spans="1:16" ht="25.5">
      <c r="A888" s="177">
        <v>355</v>
      </c>
      <c r="B888" s="326">
        <v>200</v>
      </c>
      <c r="C888" s="326">
        <v>208</v>
      </c>
      <c r="D888" s="326">
        <v>0</v>
      </c>
      <c r="E888" s="326">
        <v>0</v>
      </c>
      <c r="F888" s="326">
        <v>0</v>
      </c>
      <c r="G888" s="347" t="s">
        <v>3065</v>
      </c>
      <c r="H888" s="330" t="s">
        <v>1297</v>
      </c>
      <c r="I888" s="326"/>
      <c r="J888" s="326"/>
      <c r="K888" s="341">
        <f t="shared" si="28"/>
        <v>0</v>
      </c>
      <c r="L888" s="341">
        <v>0</v>
      </c>
      <c r="M888" s="341"/>
      <c r="N888" s="341">
        <f t="shared" si="27"/>
        <v>0</v>
      </c>
      <c r="O888" s="341">
        <v>0</v>
      </c>
      <c r="P888" s="341"/>
    </row>
    <row r="889" spans="1:16" ht="25.5">
      <c r="A889" s="177">
        <v>355</v>
      </c>
      <c r="B889" s="326">
        <v>200</v>
      </c>
      <c r="C889" s="326">
        <v>209</v>
      </c>
      <c r="D889" s="326">
        <v>0</v>
      </c>
      <c r="E889" s="326">
        <v>0</v>
      </c>
      <c r="F889" s="326">
        <v>0</v>
      </c>
      <c r="G889" s="347" t="s">
        <v>3066</v>
      </c>
      <c r="H889" s="330" t="s">
        <v>1298</v>
      </c>
      <c r="I889" s="326"/>
      <c r="J889" s="326"/>
      <c r="K889" s="341">
        <f t="shared" si="28"/>
        <v>0</v>
      </c>
      <c r="L889" s="341">
        <v>0</v>
      </c>
      <c r="M889" s="341"/>
      <c r="N889" s="341">
        <f t="shared" si="27"/>
        <v>0</v>
      </c>
      <c r="O889" s="341">
        <v>0</v>
      </c>
      <c r="P889" s="341"/>
    </row>
    <row r="890" spans="1:16" ht="25.5">
      <c r="A890" s="177">
        <v>355</v>
      </c>
      <c r="B890" s="326">
        <v>200</v>
      </c>
      <c r="C890" s="326">
        <v>210</v>
      </c>
      <c r="D890" s="326">
        <v>0</v>
      </c>
      <c r="E890" s="326">
        <v>0</v>
      </c>
      <c r="F890" s="326">
        <v>0</v>
      </c>
      <c r="G890" s="347" t="s">
        <v>3067</v>
      </c>
      <c r="H890" s="330" t="s">
        <v>1299</v>
      </c>
      <c r="I890" s="326"/>
      <c r="J890" s="326"/>
      <c r="K890" s="341">
        <f t="shared" si="28"/>
        <v>0</v>
      </c>
      <c r="L890" s="341">
        <v>0</v>
      </c>
      <c r="M890" s="341"/>
      <c r="N890" s="341">
        <f t="shared" si="27"/>
        <v>0</v>
      </c>
      <c r="O890" s="341">
        <v>0</v>
      </c>
      <c r="P890" s="341"/>
    </row>
    <row r="891" spans="1:16" ht="25.5">
      <c r="A891" s="177">
        <v>355</v>
      </c>
      <c r="B891" s="326">
        <v>200</v>
      </c>
      <c r="C891" s="326">
        <v>211</v>
      </c>
      <c r="D891" s="326">
        <v>0</v>
      </c>
      <c r="E891" s="326">
        <v>0</v>
      </c>
      <c r="F891" s="326">
        <v>0</v>
      </c>
      <c r="G891" s="347" t="s">
        <v>3068</v>
      </c>
      <c r="H891" s="330" t="s">
        <v>1300</v>
      </c>
      <c r="I891" s="326"/>
      <c r="J891" s="326"/>
      <c r="K891" s="341">
        <f t="shared" si="28"/>
        <v>0</v>
      </c>
      <c r="L891" s="341">
        <v>0</v>
      </c>
      <c r="M891" s="341"/>
      <c r="N891" s="341">
        <f t="shared" si="27"/>
        <v>0</v>
      </c>
      <c r="O891" s="341">
        <v>0</v>
      </c>
      <c r="P891" s="341"/>
    </row>
    <row r="892" spans="1:16">
      <c r="A892" s="177">
        <v>355</v>
      </c>
      <c r="B892" s="326">
        <v>200</v>
      </c>
      <c r="C892" s="326">
        <v>300</v>
      </c>
      <c r="D892" s="326">
        <v>0</v>
      </c>
      <c r="E892" s="326">
        <v>0</v>
      </c>
      <c r="F892" s="326">
        <v>0</v>
      </c>
      <c r="G892" s="347" t="s">
        <v>3069</v>
      </c>
      <c r="H892" s="330" t="s">
        <v>1301</v>
      </c>
      <c r="I892" s="326"/>
      <c r="J892" s="326"/>
      <c r="K892" s="341">
        <f t="shared" si="28"/>
        <v>0</v>
      </c>
      <c r="L892" s="341">
        <v>0</v>
      </c>
      <c r="M892" s="341"/>
      <c r="N892" s="341">
        <f t="shared" si="27"/>
        <v>0</v>
      </c>
      <c r="O892" s="341">
        <v>0</v>
      </c>
      <c r="P892" s="341"/>
    </row>
    <row r="893" spans="1:16" ht="25.5">
      <c r="A893" s="177">
        <v>355</v>
      </c>
      <c r="B893" s="326">
        <v>200</v>
      </c>
      <c r="C893" s="326">
        <v>400</v>
      </c>
      <c r="D893" s="326">
        <v>0</v>
      </c>
      <c r="E893" s="326">
        <v>0</v>
      </c>
      <c r="F893" s="326">
        <v>0</v>
      </c>
      <c r="G893" s="347" t="s">
        <v>3070</v>
      </c>
      <c r="H893" s="330" t="s">
        <v>1302</v>
      </c>
      <c r="I893" s="326"/>
      <c r="J893" s="326"/>
      <c r="K893" s="341">
        <f t="shared" si="28"/>
        <v>0</v>
      </c>
      <c r="L893" s="341">
        <v>0</v>
      </c>
      <c r="M893" s="341"/>
      <c r="N893" s="341">
        <f t="shared" si="27"/>
        <v>0</v>
      </c>
      <c r="O893" s="341">
        <v>0</v>
      </c>
      <c r="P893" s="341"/>
    </row>
    <row r="894" spans="1:16" ht="25.5">
      <c r="A894" s="177">
        <v>355</v>
      </c>
      <c r="B894" s="326">
        <v>200</v>
      </c>
      <c r="C894" s="326">
        <v>401</v>
      </c>
      <c r="D894" s="326">
        <v>0</v>
      </c>
      <c r="E894" s="326">
        <v>0</v>
      </c>
      <c r="F894" s="326">
        <v>0</v>
      </c>
      <c r="G894" s="347" t="s">
        <v>3071</v>
      </c>
      <c r="H894" s="330" t="s">
        <v>1303</v>
      </c>
      <c r="I894" s="326"/>
      <c r="J894" s="326"/>
      <c r="K894" s="341">
        <f t="shared" si="28"/>
        <v>0</v>
      </c>
      <c r="L894" s="341">
        <v>0</v>
      </c>
      <c r="M894" s="341"/>
      <c r="N894" s="341">
        <f t="shared" si="27"/>
        <v>0</v>
      </c>
      <c r="O894" s="341">
        <v>0</v>
      </c>
      <c r="P894" s="341"/>
    </row>
    <row r="895" spans="1:16" ht="25.5">
      <c r="A895" s="177">
        <v>355</v>
      </c>
      <c r="B895" s="326">
        <v>200</v>
      </c>
      <c r="C895" s="326">
        <v>402</v>
      </c>
      <c r="D895" s="326">
        <v>0</v>
      </c>
      <c r="E895" s="326">
        <v>0</v>
      </c>
      <c r="F895" s="326">
        <v>0</v>
      </c>
      <c r="G895" s="347" t="s">
        <v>3072</v>
      </c>
      <c r="H895" s="330" t="s">
        <v>1304</v>
      </c>
      <c r="I895" s="326"/>
      <c r="J895" s="326"/>
      <c r="K895" s="341">
        <f t="shared" si="28"/>
        <v>0</v>
      </c>
      <c r="L895" s="341">
        <v>0</v>
      </c>
      <c r="M895" s="341"/>
      <c r="N895" s="341">
        <f t="shared" si="27"/>
        <v>0</v>
      </c>
      <c r="O895" s="341">
        <v>0</v>
      </c>
      <c r="P895" s="341"/>
    </row>
    <row r="896" spans="1:16" ht="25.5">
      <c r="A896" s="177">
        <v>355</v>
      </c>
      <c r="B896" s="326">
        <v>200</v>
      </c>
      <c r="C896" s="326">
        <v>403</v>
      </c>
      <c r="D896" s="326">
        <v>0</v>
      </c>
      <c r="E896" s="326">
        <v>0</v>
      </c>
      <c r="F896" s="326">
        <v>0</v>
      </c>
      <c r="G896" s="347" t="s">
        <v>3073</v>
      </c>
      <c r="H896" s="330" t="s">
        <v>1305</v>
      </c>
      <c r="I896" s="326"/>
      <c r="J896" s="326"/>
      <c r="K896" s="341">
        <f t="shared" si="28"/>
        <v>0</v>
      </c>
      <c r="L896" s="341">
        <v>0</v>
      </c>
      <c r="M896" s="341"/>
      <c r="N896" s="341">
        <f t="shared" si="27"/>
        <v>0</v>
      </c>
      <c r="O896" s="341">
        <v>0</v>
      </c>
      <c r="P896" s="341"/>
    </row>
    <row r="897" spans="1:16" ht="25.5">
      <c r="A897" s="177">
        <v>355</v>
      </c>
      <c r="B897" s="326">
        <v>200</v>
      </c>
      <c r="C897" s="326">
        <v>404</v>
      </c>
      <c r="D897" s="326">
        <v>0</v>
      </c>
      <c r="E897" s="326">
        <v>0</v>
      </c>
      <c r="F897" s="326">
        <v>0</v>
      </c>
      <c r="G897" s="347" t="s">
        <v>3074</v>
      </c>
      <c r="H897" s="330" t="s">
        <v>1306</v>
      </c>
      <c r="I897" s="326"/>
      <c r="J897" s="326"/>
      <c r="K897" s="341">
        <f t="shared" si="28"/>
        <v>0</v>
      </c>
      <c r="L897" s="341">
        <v>0</v>
      </c>
      <c r="M897" s="341"/>
      <c r="N897" s="341">
        <f t="shared" si="27"/>
        <v>0</v>
      </c>
      <c r="O897" s="341">
        <v>0</v>
      </c>
      <c r="P897" s="341"/>
    </row>
    <row r="898" spans="1:16" ht="25.5">
      <c r="A898" s="177">
        <v>355</v>
      </c>
      <c r="B898" s="326">
        <v>200</v>
      </c>
      <c r="C898" s="326">
        <v>405</v>
      </c>
      <c r="D898" s="326">
        <v>0</v>
      </c>
      <c r="E898" s="326">
        <v>0</v>
      </c>
      <c r="F898" s="326">
        <v>0</v>
      </c>
      <c r="G898" s="347" t="s">
        <v>3075</v>
      </c>
      <c r="H898" s="330" t="s">
        <v>1307</v>
      </c>
      <c r="I898" s="326"/>
      <c r="J898" s="326"/>
      <c r="K898" s="341">
        <f t="shared" si="28"/>
        <v>0</v>
      </c>
      <c r="L898" s="341">
        <v>0</v>
      </c>
      <c r="M898" s="341"/>
      <c r="N898" s="341">
        <f t="shared" si="27"/>
        <v>0</v>
      </c>
      <c r="O898" s="341">
        <v>0</v>
      </c>
      <c r="P898" s="341"/>
    </row>
    <row r="899" spans="1:16" ht="25.5">
      <c r="A899" s="177">
        <v>355</v>
      </c>
      <c r="B899" s="326">
        <v>200</v>
      </c>
      <c r="C899" s="326">
        <v>406</v>
      </c>
      <c r="D899" s="326">
        <v>0</v>
      </c>
      <c r="E899" s="326">
        <v>0</v>
      </c>
      <c r="F899" s="326">
        <v>0</v>
      </c>
      <c r="G899" s="347" t="s">
        <v>3076</v>
      </c>
      <c r="H899" s="330" t="s">
        <v>1308</v>
      </c>
      <c r="I899" s="326"/>
      <c r="J899" s="326"/>
      <c r="K899" s="341">
        <f t="shared" si="28"/>
        <v>0</v>
      </c>
      <c r="L899" s="341">
        <v>0</v>
      </c>
      <c r="M899" s="341"/>
      <c r="N899" s="341">
        <f t="shared" si="27"/>
        <v>0</v>
      </c>
      <c r="O899" s="341">
        <v>0</v>
      </c>
      <c r="P899" s="341"/>
    </row>
    <row r="900" spans="1:16" ht="38.25">
      <c r="A900" s="177">
        <v>355</v>
      </c>
      <c r="B900" s="326">
        <v>200</v>
      </c>
      <c r="C900" s="326">
        <v>407</v>
      </c>
      <c r="D900" s="326">
        <v>0</v>
      </c>
      <c r="E900" s="326">
        <v>0</v>
      </c>
      <c r="F900" s="326">
        <v>0</v>
      </c>
      <c r="G900" s="347" t="s">
        <v>3077</v>
      </c>
      <c r="H900" s="330" t="s">
        <v>1309</v>
      </c>
      <c r="I900" s="326"/>
      <c r="J900" s="326"/>
      <c r="K900" s="341">
        <f t="shared" si="28"/>
        <v>0</v>
      </c>
      <c r="L900" s="341">
        <v>0</v>
      </c>
      <c r="M900" s="341"/>
      <c r="N900" s="341">
        <f t="shared" si="27"/>
        <v>0</v>
      </c>
      <c r="O900" s="341">
        <v>0</v>
      </c>
      <c r="P900" s="341"/>
    </row>
    <row r="901" spans="1:16" ht="25.5">
      <c r="A901" s="177">
        <v>355</v>
      </c>
      <c r="B901" s="326">
        <v>200</v>
      </c>
      <c r="C901" s="326">
        <v>408</v>
      </c>
      <c r="D901" s="326">
        <v>0</v>
      </c>
      <c r="E901" s="326">
        <v>0</v>
      </c>
      <c r="F901" s="326">
        <v>0</v>
      </c>
      <c r="G901" s="347" t="s">
        <v>3078</v>
      </c>
      <c r="H901" s="330" t="s">
        <v>1310</v>
      </c>
      <c r="I901" s="326"/>
      <c r="J901" s="326"/>
      <c r="K901" s="341">
        <f t="shared" si="28"/>
        <v>0</v>
      </c>
      <c r="L901" s="341">
        <v>0</v>
      </c>
      <c r="M901" s="341"/>
      <c r="N901" s="341">
        <f t="shared" si="27"/>
        <v>0</v>
      </c>
      <c r="O901" s="341">
        <v>0</v>
      </c>
      <c r="P901" s="341"/>
    </row>
    <row r="902" spans="1:16" ht="25.5">
      <c r="A902" s="177">
        <v>355</v>
      </c>
      <c r="B902" s="326">
        <v>200</v>
      </c>
      <c r="C902" s="326">
        <v>409</v>
      </c>
      <c r="D902" s="326">
        <v>0</v>
      </c>
      <c r="E902" s="326">
        <v>0</v>
      </c>
      <c r="F902" s="326">
        <v>0</v>
      </c>
      <c r="G902" s="347" t="s">
        <v>3079</v>
      </c>
      <c r="H902" s="330" t="s">
        <v>1311</v>
      </c>
      <c r="I902" s="326"/>
      <c r="J902" s="326"/>
      <c r="K902" s="341">
        <f t="shared" si="28"/>
        <v>0</v>
      </c>
      <c r="L902" s="341">
        <v>0</v>
      </c>
      <c r="M902" s="341"/>
      <c r="N902" s="341">
        <f t="shared" si="27"/>
        <v>0</v>
      </c>
      <c r="O902" s="341">
        <v>0</v>
      </c>
      <c r="P902" s="341"/>
    </row>
    <row r="903" spans="1:16" ht="25.5">
      <c r="A903" s="177">
        <v>355</v>
      </c>
      <c r="B903" s="326">
        <v>200</v>
      </c>
      <c r="C903" s="326">
        <v>410</v>
      </c>
      <c r="D903" s="326">
        <v>0</v>
      </c>
      <c r="E903" s="326">
        <v>0</v>
      </c>
      <c r="F903" s="326">
        <v>0</v>
      </c>
      <c r="G903" s="347" t="s">
        <v>3080</v>
      </c>
      <c r="H903" s="330" t="s">
        <v>1312</v>
      </c>
      <c r="I903" s="326"/>
      <c r="J903" s="326"/>
      <c r="K903" s="341">
        <f t="shared" si="28"/>
        <v>0</v>
      </c>
      <c r="L903" s="341">
        <v>0</v>
      </c>
      <c r="M903" s="341"/>
      <c r="N903" s="341">
        <f t="shared" ref="N903:N966" si="29">+O903+P903</f>
        <v>0</v>
      </c>
      <c r="O903" s="341">
        <v>0</v>
      </c>
      <c r="P903" s="341"/>
    </row>
    <row r="904" spans="1:16" ht="25.5">
      <c r="A904" s="177">
        <v>355</v>
      </c>
      <c r="B904" s="326">
        <v>200</v>
      </c>
      <c r="C904" s="326">
        <v>411</v>
      </c>
      <c r="D904" s="326">
        <v>0</v>
      </c>
      <c r="E904" s="326">
        <v>0</v>
      </c>
      <c r="F904" s="326">
        <v>0</v>
      </c>
      <c r="G904" s="347" t="s">
        <v>3081</v>
      </c>
      <c r="H904" s="330" t="s">
        <v>1313</v>
      </c>
      <c r="I904" s="326"/>
      <c r="J904" s="326"/>
      <c r="K904" s="341">
        <f t="shared" si="28"/>
        <v>0</v>
      </c>
      <c r="L904" s="341">
        <v>0</v>
      </c>
      <c r="M904" s="341"/>
      <c r="N904" s="341">
        <f t="shared" si="29"/>
        <v>0</v>
      </c>
      <c r="O904" s="341">
        <v>0</v>
      </c>
      <c r="P904" s="341"/>
    </row>
    <row r="905" spans="1:16" ht="25.5">
      <c r="A905" s="177">
        <v>355</v>
      </c>
      <c r="B905" s="326">
        <v>200</v>
      </c>
      <c r="C905" s="326">
        <v>412</v>
      </c>
      <c r="D905" s="326">
        <v>0</v>
      </c>
      <c r="E905" s="326">
        <v>0</v>
      </c>
      <c r="F905" s="326">
        <v>0</v>
      </c>
      <c r="G905" s="347" t="s">
        <v>3082</v>
      </c>
      <c r="H905" s="330" t="s">
        <v>1314</v>
      </c>
      <c r="I905" s="326"/>
      <c r="J905" s="326"/>
      <c r="K905" s="341">
        <f t="shared" si="28"/>
        <v>0</v>
      </c>
      <c r="L905" s="341">
        <v>0</v>
      </c>
      <c r="M905" s="341"/>
      <c r="N905" s="341">
        <f t="shared" si="29"/>
        <v>0</v>
      </c>
      <c r="O905" s="341">
        <v>0</v>
      </c>
      <c r="P905" s="341"/>
    </row>
    <row r="906" spans="1:16" ht="25.5">
      <c r="A906" s="177">
        <v>355</v>
      </c>
      <c r="B906" s="326">
        <v>200</v>
      </c>
      <c r="C906" s="326">
        <v>413</v>
      </c>
      <c r="D906" s="326">
        <v>0</v>
      </c>
      <c r="E906" s="326">
        <v>0</v>
      </c>
      <c r="F906" s="326">
        <v>0</v>
      </c>
      <c r="G906" s="347" t="s">
        <v>3083</v>
      </c>
      <c r="H906" s="330" t="s">
        <v>1315</v>
      </c>
      <c r="I906" s="326"/>
      <c r="J906" s="326"/>
      <c r="K906" s="341">
        <f t="shared" si="28"/>
        <v>0</v>
      </c>
      <c r="L906" s="341">
        <v>0</v>
      </c>
      <c r="M906" s="341"/>
      <c r="N906" s="341">
        <f t="shared" si="29"/>
        <v>0</v>
      </c>
      <c r="O906" s="341">
        <v>0</v>
      </c>
      <c r="P906" s="341"/>
    </row>
    <row r="907" spans="1:16" ht="38.25">
      <c r="A907" s="177">
        <v>355</v>
      </c>
      <c r="B907" s="326">
        <v>200</v>
      </c>
      <c r="C907" s="326">
        <v>414</v>
      </c>
      <c r="D907" s="326">
        <v>0</v>
      </c>
      <c r="E907" s="326">
        <v>0</v>
      </c>
      <c r="F907" s="326">
        <v>0</v>
      </c>
      <c r="G907" s="347" t="s">
        <v>3084</v>
      </c>
      <c r="H907" s="330" t="s">
        <v>1316</v>
      </c>
      <c r="I907" s="326"/>
      <c r="J907" s="326"/>
      <c r="K907" s="341">
        <f t="shared" si="28"/>
        <v>0</v>
      </c>
      <c r="L907" s="341">
        <v>0</v>
      </c>
      <c r="M907" s="341"/>
      <c r="N907" s="341">
        <f t="shared" si="29"/>
        <v>0</v>
      </c>
      <c r="O907" s="341">
        <v>0</v>
      </c>
      <c r="P907" s="341"/>
    </row>
    <row r="908" spans="1:16">
      <c r="A908" s="177">
        <v>355</v>
      </c>
      <c r="B908" s="326">
        <v>200</v>
      </c>
      <c r="C908" s="326">
        <v>415</v>
      </c>
      <c r="D908" s="326">
        <v>0</v>
      </c>
      <c r="E908" s="326">
        <v>0</v>
      </c>
      <c r="F908" s="326">
        <v>0</v>
      </c>
      <c r="G908" s="347" t="s">
        <v>3085</v>
      </c>
      <c r="H908" s="330" t="s">
        <v>1317</v>
      </c>
      <c r="I908" s="326"/>
      <c r="J908" s="326"/>
      <c r="K908" s="341">
        <f t="shared" si="28"/>
        <v>0</v>
      </c>
      <c r="L908" s="341">
        <v>0</v>
      </c>
      <c r="M908" s="341"/>
      <c r="N908" s="341">
        <f t="shared" si="29"/>
        <v>0</v>
      </c>
      <c r="O908" s="341">
        <v>0</v>
      </c>
      <c r="P908" s="341"/>
    </row>
    <row r="909" spans="1:16" ht="25.5">
      <c r="A909" s="177">
        <v>355</v>
      </c>
      <c r="B909" s="326">
        <v>200</v>
      </c>
      <c r="C909" s="326">
        <v>602</v>
      </c>
      <c r="D909" s="326">
        <v>0</v>
      </c>
      <c r="E909" s="326">
        <v>0</v>
      </c>
      <c r="F909" s="326">
        <v>0</v>
      </c>
      <c r="G909" s="347" t="s">
        <v>3086</v>
      </c>
      <c r="H909" s="330" t="s">
        <v>1318</v>
      </c>
      <c r="I909" s="326"/>
      <c r="J909" s="326"/>
      <c r="K909" s="341">
        <f t="shared" si="28"/>
        <v>3521.21</v>
      </c>
      <c r="L909" s="341">
        <v>3521.21</v>
      </c>
      <c r="M909" s="341"/>
      <c r="N909" s="341">
        <f t="shared" si="29"/>
        <v>0</v>
      </c>
      <c r="O909" s="341">
        <v>0</v>
      </c>
      <c r="P909" s="341"/>
    </row>
    <row r="910" spans="1:16">
      <c r="A910" s="177">
        <v>355</v>
      </c>
      <c r="B910" s="326">
        <v>200</v>
      </c>
      <c r="C910" s="326">
        <v>603</v>
      </c>
      <c r="D910" s="326">
        <v>0</v>
      </c>
      <c r="E910" s="326">
        <v>0</v>
      </c>
      <c r="F910" s="326">
        <v>0</v>
      </c>
      <c r="G910" s="347" t="s">
        <v>3087</v>
      </c>
      <c r="H910" s="330" t="s">
        <v>1319</v>
      </c>
      <c r="I910" s="326"/>
      <c r="J910" s="326"/>
      <c r="K910" s="341">
        <f t="shared" si="28"/>
        <v>0</v>
      </c>
      <c r="L910" s="341">
        <v>0</v>
      </c>
      <c r="M910" s="341"/>
      <c r="N910" s="341">
        <f t="shared" si="29"/>
        <v>0</v>
      </c>
      <c r="O910" s="341">
        <v>0</v>
      </c>
      <c r="P910" s="341"/>
    </row>
    <row r="911" spans="1:16">
      <c r="A911" s="177">
        <v>355</v>
      </c>
      <c r="B911" s="326">
        <v>200</v>
      </c>
      <c r="C911" s="326">
        <v>700</v>
      </c>
      <c r="D911" s="326">
        <v>0</v>
      </c>
      <c r="E911" s="326">
        <v>0</v>
      </c>
      <c r="F911" s="326">
        <v>0</v>
      </c>
      <c r="G911" s="347" t="s">
        <v>3088</v>
      </c>
      <c r="H911" s="330" t="s">
        <v>1320</v>
      </c>
      <c r="I911" s="326"/>
      <c r="J911" s="326"/>
      <c r="K911" s="341">
        <f t="shared" si="28"/>
        <v>0</v>
      </c>
      <c r="L911" s="341">
        <v>0</v>
      </c>
      <c r="M911" s="341"/>
      <c r="N911" s="341">
        <f t="shared" si="29"/>
        <v>0</v>
      </c>
      <c r="O911" s="341">
        <v>0</v>
      </c>
      <c r="P911" s="341"/>
    </row>
    <row r="912" spans="1:16">
      <c r="A912" s="177">
        <v>355</v>
      </c>
      <c r="B912" s="326">
        <v>200</v>
      </c>
      <c r="C912" s="326">
        <v>701</v>
      </c>
      <c r="D912" s="326">
        <v>0</v>
      </c>
      <c r="E912" s="326">
        <v>0</v>
      </c>
      <c r="F912" s="326">
        <v>0</v>
      </c>
      <c r="G912" s="347" t="s">
        <v>3089</v>
      </c>
      <c r="H912" s="330" t="s">
        <v>1321</v>
      </c>
      <c r="I912" s="326"/>
      <c r="J912" s="326"/>
      <c r="K912" s="341">
        <f t="shared" si="28"/>
        <v>0</v>
      </c>
      <c r="L912" s="341">
        <v>0</v>
      </c>
      <c r="M912" s="341"/>
      <c r="N912" s="341">
        <f t="shared" si="29"/>
        <v>0</v>
      </c>
      <c r="O912" s="341">
        <v>0</v>
      </c>
      <c r="P912" s="341"/>
    </row>
    <row r="913" spans="1:16">
      <c r="A913" s="177">
        <v>355</v>
      </c>
      <c r="B913" s="326">
        <v>200</v>
      </c>
      <c r="C913" s="326">
        <v>702</v>
      </c>
      <c r="D913" s="326">
        <v>0</v>
      </c>
      <c r="E913" s="326">
        <v>0</v>
      </c>
      <c r="F913" s="326">
        <v>0</v>
      </c>
      <c r="G913" s="347" t="s">
        <v>3090</v>
      </c>
      <c r="H913" s="330" t="s">
        <v>1322</v>
      </c>
      <c r="I913" s="326"/>
      <c r="J913" s="326"/>
      <c r="K913" s="341">
        <f t="shared" si="28"/>
        <v>0</v>
      </c>
      <c r="L913" s="341">
        <v>0</v>
      </c>
      <c r="M913" s="341"/>
      <c r="N913" s="341">
        <f t="shared" si="29"/>
        <v>0</v>
      </c>
      <c r="O913" s="341">
        <v>0</v>
      </c>
      <c r="P913" s="341"/>
    </row>
    <row r="914" spans="1:16">
      <c r="A914" s="177">
        <v>355</v>
      </c>
      <c r="B914" s="326">
        <v>200</v>
      </c>
      <c r="C914" s="326">
        <v>900</v>
      </c>
      <c r="D914" s="326">
        <v>0</v>
      </c>
      <c r="E914" s="326">
        <v>0</v>
      </c>
      <c r="F914" s="326">
        <v>0</v>
      </c>
      <c r="G914" s="347" t="s">
        <v>3091</v>
      </c>
      <c r="H914" s="330" t="s">
        <v>1323</v>
      </c>
      <c r="I914" s="326"/>
      <c r="J914" s="326"/>
      <c r="K914" s="341">
        <f t="shared" si="28"/>
        <v>40075</v>
      </c>
      <c r="L914" s="341">
        <v>40075</v>
      </c>
      <c r="M914" s="341"/>
      <c r="N914" s="341">
        <f t="shared" si="29"/>
        <v>4012</v>
      </c>
      <c r="O914" s="341">
        <v>4012</v>
      </c>
      <c r="P914" s="341"/>
    </row>
    <row r="915" spans="1:16">
      <c r="A915" s="177">
        <v>355</v>
      </c>
      <c r="B915" s="326">
        <v>200</v>
      </c>
      <c r="C915" s="326">
        <v>901</v>
      </c>
      <c r="D915" s="326">
        <v>0</v>
      </c>
      <c r="E915" s="326">
        <v>0</v>
      </c>
      <c r="F915" s="326">
        <v>0</v>
      </c>
      <c r="G915" s="347" t="s">
        <v>3092</v>
      </c>
      <c r="H915" s="330" t="s">
        <v>1324</v>
      </c>
      <c r="I915" s="326"/>
      <c r="J915" s="326"/>
      <c r="K915" s="341">
        <f t="shared" si="28"/>
        <v>0</v>
      </c>
      <c r="L915" s="341">
        <v>0</v>
      </c>
      <c r="M915" s="341"/>
      <c r="N915" s="341">
        <f t="shared" si="29"/>
        <v>0</v>
      </c>
      <c r="O915" s="341">
        <v>0</v>
      </c>
      <c r="P915" s="341"/>
    </row>
    <row r="916" spans="1:16">
      <c r="A916" s="177">
        <v>355</v>
      </c>
      <c r="B916" s="326">
        <v>200</v>
      </c>
      <c r="C916" s="326">
        <v>902</v>
      </c>
      <c r="D916" s="326">
        <v>0</v>
      </c>
      <c r="E916" s="326">
        <v>0</v>
      </c>
      <c r="F916" s="326">
        <v>0</v>
      </c>
      <c r="G916" s="347" t="s">
        <v>3093</v>
      </c>
      <c r="H916" s="330" t="s">
        <v>1325</v>
      </c>
      <c r="I916" s="326"/>
      <c r="J916" s="326"/>
      <c r="K916" s="341">
        <f t="shared" si="28"/>
        <v>3874.21</v>
      </c>
      <c r="L916" s="341">
        <v>3874.21</v>
      </c>
      <c r="M916" s="341"/>
      <c r="N916" s="341">
        <f t="shared" si="29"/>
        <v>0</v>
      </c>
      <c r="O916" s="341">
        <v>0</v>
      </c>
      <c r="P916" s="341"/>
    </row>
    <row r="917" spans="1:16" ht="25.5">
      <c r="A917" s="177">
        <v>355</v>
      </c>
      <c r="B917" s="326">
        <v>200</v>
      </c>
      <c r="C917" s="326">
        <v>903</v>
      </c>
      <c r="D917" s="326">
        <v>0</v>
      </c>
      <c r="E917" s="326">
        <v>0</v>
      </c>
      <c r="F917" s="326">
        <v>0</v>
      </c>
      <c r="G917" s="347" t="s">
        <v>3094</v>
      </c>
      <c r="H917" s="330" t="s">
        <v>1326</v>
      </c>
      <c r="I917" s="326"/>
      <c r="J917" s="326"/>
      <c r="K917" s="341">
        <f t="shared" si="28"/>
        <v>0</v>
      </c>
      <c r="L917" s="341">
        <v>0</v>
      </c>
      <c r="M917" s="341"/>
      <c r="N917" s="341">
        <f t="shared" si="29"/>
        <v>0</v>
      </c>
      <c r="O917" s="341">
        <v>0</v>
      </c>
      <c r="P917" s="341"/>
    </row>
    <row r="918" spans="1:16">
      <c r="A918" s="177">
        <v>355</v>
      </c>
      <c r="B918" s="326">
        <v>200</v>
      </c>
      <c r="C918" s="326">
        <v>990</v>
      </c>
      <c r="D918" s="326">
        <v>0</v>
      </c>
      <c r="E918" s="326">
        <v>0</v>
      </c>
      <c r="F918" s="326">
        <v>0</v>
      </c>
      <c r="G918" s="347" t="s">
        <v>3095</v>
      </c>
      <c r="H918" s="330" t="s">
        <v>1327</v>
      </c>
      <c r="I918" s="326"/>
      <c r="J918" s="326"/>
      <c r="K918" s="341">
        <f t="shared" si="28"/>
        <v>0</v>
      </c>
      <c r="L918" s="341">
        <v>0</v>
      </c>
      <c r="M918" s="341"/>
      <c r="N918" s="341">
        <f t="shared" si="29"/>
        <v>0</v>
      </c>
      <c r="O918" s="341">
        <v>0</v>
      </c>
      <c r="P918" s="341"/>
    </row>
    <row r="919" spans="1:16">
      <c r="A919" s="403">
        <v>360</v>
      </c>
      <c r="B919" s="404">
        <v>0</v>
      </c>
      <c r="C919" s="404">
        <v>0</v>
      </c>
      <c r="D919" s="404">
        <v>0</v>
      </c>
      <c r="E919" s="404">
        <v>0</v>
      </c>
      <c r="F919" s="404">
        <v>0</v>
      </c>
      <c r="G919" s="339">
        <v>360</v>
      </c>
      <c r="H919" s="339" t="s">
        <v>73</v>
      </c>
      <c r="I919" s="55" t="s">
        <v>1328</v>
      </c>
      <c r="J919" s="55"/>
      <c r="K919" s="335">
        <f t="shared" si="28"/>
        <v>0</v>
      </c>
      <c r="L919" s="335">
        <v>0</v>
      </c>
      <c r="M919" s="335"/>
      <c r="N919" s="335">
        <f t="shared" si="29"/>
        <v>0</v>
      </c>
      <c r="O919" s="335">
        <v>0</v>
      </c>
      <c r="P919" s="335"/>
    </row>
    <row r="920" spans="1:16">
      <c r="A920" s="177">
        <v>360</v>
      </c>
      <c r="B920" s="326">
        <v>100</v>
      </c>
      <c r="C920" s="326">
        <v>0</v>
      </c>
      <c r="D920" s="326">
        <v>0</v>
      </c>
      <c r="E920" s="326">
        <v>0</v>
      </c>
      <c r="F920" s="326">
        <v>0</v>
      </c>
      <c r="G920" s="330" t="s">
        <v>3096</v>
      </c>
      <c r="H920" s="330" t="s">
        <v>1329</v>
      </c>
      <c r="I920" s="326" t="s">
        <v>1330</v>
      </c>
      <c r="J920" s="325"/>
      <c r="K920" s="335">
        <f t="shared" si="28"/>
        <v>0</v>
      </c>
      <c r="L920" s="335">
        <v>0</v>
      </c>
      <c r="M920" s="335"/>
      <c r="N920" s="335">
        <f t="shared" si="29"/>
        <v>0</v>
      </c>
      <c r="O920" s="335">
        <v>0</v>
      </c>
      <c r="P920" s="335"/>
    </row>
    <row r="921" spans="1:16">
      <c r="A921" s="177">
        <v>360</v>
      </c>
      <c r="B921" s="326">
        <v>100</v>
      </c>
      <c r="C921" s="326">
        <v>10</v>
      </c>
      <c r="D921" s="326">
        <v>0</v>
      </c>
      <c r="E921" s="326">
        <v>0</v>
      </c>
      <c r="F921" s="326">
        <v>0</v>
      </c>
      <c r="G921" s="330" t="s">
        <v>3097</v>
      </c>
      <c r="H921" s="330" t="s">
        <v>539</v>
      </c>
      <c r="I921" s="326" t="s">
        <v>1331</v>
      </c>
      <c r="J921" s="326"/>
      <c r="K921" s="334">
        <f t="shared" si="28"/>
        <v>-4046.74</v>
      </c>
      <c r="L921" s="334">
        <v>-4046.74</v>
      </c>
      <c r="M921" s="334"/>
      <c r="N921" s="334">
        <f t="shared" si="29"/>
        <v>14002.09</v>
      </c>
      <c r="O921" s="334">
        <v>14002.09</v>
      </c>
      <c r="P921" s="334"/>
    </row>
    <row r="922" spans="1:16">
      <c r="A922" s="177">
        <v>360</v>
      </c>
      <c r="B922" s="326">
        <v>100</v>
      </c>
      <c r="C922" s="326">
        <v>20</v>
      </c>
      <c r="D922" s="326">
        <v>0</v>
      </c>
      <c r="E922" s="326">
        <v>0</v>
      </c>
      <c r="F922" s="326">
        <v>0</v>
      </c>
      <c r="G922" s="330" t="s">
        <v>3098</v>
      </c>
      <c r="H922" s="330" t="s">
        <v>556</v>
      </c>
      <c r="I922" s="326" t="s">
        <v>1332</v>
      </c>
      <c r="J922" s="326"/>
      <c r="K922" s="334">
        <f t="shared" si="28"/>
        <v>0</v>
      </c>
      <c r="L922" s="334">
        <v>0</v>
      </c>
      <c r="M922" s="334"/>
      <c r="N922" s="334">
        <f t="shared" si="29"/>
        <v>0</v>
      </c>
      <c r="O922" s="334">
        <v>0</v>
      </c>
      <c r="P922" s="334"/>
    </row>
    <row r="923" spans="1:16">
      <c r="A923" s="177">
        <v>360</v>
      </c>
      <c r="B923" s="326">
        <v>100</v>
      </c>
      <c r="C923" s="326">
        <v>30</v>
      </c>
      <c r="D923" s="326">
        <v>0</v>
      </c>
      <c r="E923" s="326">
        <v>0</v>
      </c>
      <c r="F923" s="326">
        <v>0</v>
      </c>
      <c r="G923" s="330" t="s">
        <v>3099</v>
      </c>
      <c r="H923" s="330" t="s">
        <v>564</v>
      </c>
      <c r="I923" s="326" t="s">
        <v>1333</v>
      </c>
      <c r="J923" s="326"/>
      <c r="K923" s="334">
        <f t="shared" si="28"/>
        <v>372919.09</v>
      </c>
      <c r="L923" s="334">
        <v>372919.09</v>
      </c>
      <c r="M923" s="334"/>
      <c r="N923" s="334">
        <f t="shared" si="29"/>
        <v>348173.56</v>
      </c>
      <c r="O923" s="334">
        <v>348173.56</v>
      </c>
      <c r="P923" s="334"/>
    </row>
    <row r="924" spans="1:16">
      <c r="A924" s="177">
        <v>360</v>
      </c>
      <c r="B924" s="326">
        <v>100</v>
      </c>
      <c r="C924" s="326">
        <v>40</v>
      </c>
      <c r="D924" s="326">
        <v>0</v>
      </c>
      <c r="E924" s="326">
        <v>0</v>
      </c>
      <c r="F924" s="326">
        <v>0</v>
      </c>
      <c r="G924" s="330" t="s">
        <v>3100</v>
      </c>
      <c r="H924" s="330" t="s">
        <v>572</v>
      </c>
      <c r="I924" s="326" t="s">
        <v>1334</v>
      </c>
      <c r="J924" s="326"/>
      <c r="K924" s="334">
        <f t="shared" si="28"/>
        <v>-867.36</v>
      </c>
      <c r="L924" s="334">
        <v>-867.36</v>
      </c>
      <c r="M924" s="334"/>
      <c r="N924" s="334">
        <f t="shared" si="29"/>
        <v>-153.51</v>
      </c>
      <c r="O924" s="334">
        <v>-153.51</v>
      </c>
      <c r="P924" s="334"/>
    </row>
    <row r="925" spans="1:16">
      <c r="A925" s="177">
        <v>360</v>
      </c>
      <c r="B925" s="326">
        <v>100</v>
      </c>
      <c r="C925" s="326">
        <v>50</v>
      </c>
      <c r="D925" s="326">
        <v>0</v>
      </c>
      <c r="E925" s="326">
        <v>0</v>
      </c>
      <c r="F925" s="326">
        <v>0</v>
      </c>
      <c r="G925" s="330" t="s">
        <v>3101</v>
      </c>
      <c r="H925" s="330" t="s">
        <v>574</v>
      </c>
      <c r="I925" s="326" t="s">
        <v>1335</v>
      </c>
      <c r="J925" s="326"/>
      <c r="K925" s="334">
        <f t="shared" si="28"/>
        <v>0</v>
      </c>
      <c r="L925" s="334">
        <v>0</v>
      </c>
      <c r="M925" s="334"/>
      <c r="N925" s="334">
        <f t="shared" si="29"/>
        <v>0</v>
      </c>
      <c r="O925" s="334">
        <v>0</v>
      </c>
      <c r="P925" s="334"/>
    </row>
    <row r="926" spans="1:16">
      <c r="A926" s="177">
        <v>360</v>
      </c>
      <c r="B926" s="326">
        <v>100</v>
      </c>
      <c r="C926" s="326">
        <v>60</v>
      </c>
      <c r="D926" s="326">
        <v>0</v>
      </c>
      <c r="E926" s="326">
        <v>0</v>
      </c>
      <c r="F926" s="326">
        <v>0</v>
      </c>
      <c r="G926" s="330" t="s">
        <v>3102</v>
      </c>
      <c r="H926" s="330" t="s">
        <v>576</v>
      </c>
      <c r="I926" s="326" t="s">
        <v>1336</v>
      </c>
      <c r="J926" s="326"/>
      <c r="K926" s="334">
        <f t="shared" si="28"/>
        <v>-7285.85</v>
      </c>
      <c r="L926" s="334">
        <v>-7285.85</v>
      </c>
      <c r="M926" s="334"/>
      <c r="N926" s="334">
        <f t="shared" si="29"/>
        <v>-7310.42</v>
      </c>
      <c r="O926" s="334">
        <v>-7310.42</v>
      </c>
      <c r="P926" s="334"/>
    </row>
    <row r="927" spans="1:16">
      <c r="A927" s="177">
        <v>360</v>
      </c>
      <c r="B927" s="326">
        <v>100</v>
      </c>
      <c r="C927" s="326">
        <v>70</v>
      </c>
      <c r="D927" s="326">
        <v>0</v>
      </c>
      <c r="E927" s="326">
        <v>0</v>
      </c>
      <c r="F927" s="326">
        <v>0</v>
      </c>
      <c r="G927" s="330" t="s">
        <v>3103</v>
      </c>
      <c r="H927" s="330" t="s">
        <v>578</v>
      </c>
      <c r="I927" s="326" t="s">
        <v>1337</v>
      </c>
      <c r="J927" s="326"/>
      <c r="K927" s="334">
        <f t="shared" si="28"/>
        <v>0</v>
      </c>
      <c r="L927" s="334">
        <v>0</v>
      </c>
      <c r="M927" s="334"/>
      <c r="N927" s="334">
        <f t="shared" si="29"/>
        <v>0</v>
      </c>
      <c r="O927" s="334">
        <v>0</v>
      </c>
      <c r="P927" s="334"/>
    </row>
    <row r="928" spans="1:16">
      <c r="A928" s="177">
        <v>360</v>
      </c>
      <c r="B928" s="326">
        <v>100</v>
      </c>
      <c r="C928" s="326">
        <v>80</v>
      </c>
      <c r="D928" s="326">
        <v>0</v>
      </c>
      <c r="E928" s="326">
        <v>0</v>
      </c>
      <c r="F928" s="326">
        <v>0</v>
      </c>
      <c r="G928" s="330" t="s">
        <v>3104</v>
      </c>
      <c r="H928" s="330" t="s">
        <v>590</v>
      </c>
      <c r="I928" s="326" t="s">
        <v>1338</v>
      </c>
      <c r="J928" s="326"/>
      <c r="K928" s="334">
        <f t="shared" si="28"/>
        <v>19314.509999999998</v>
      </c>
      <c r="L928" s="334">
        <v>19314.509999999998</v>
      </c>
      <c r="M928" s="334"/>
      <c r="N928" s="334">
        <f t="shared" si="29"/>
        <v>-107602.77</v>
      </c>
      <c r="O928" s="334">
        <v>-107602.77</v>
      </c>
      <c r="P928" s="334"/>
    </row>
    <row r="929" spans="1:16">
      <c r="A929" s="177">
        <v>360</v>
      </c>
      <c r="B929" s="326">
        <v>200</v>
      </c>
      <c r="C929" s="326">
        <v>0</v>
      </c>
      <c r="D929" s="326">
        <v>0</v>
      </c>
      <c r="E929" s="326">
        <v>0</v>
      </c>
      <c r="F929" s="326">
        <v>0</v>
      </c>
      <c r="G929" s="330" t="s">
        <v>3105</v>
      </c>
      <c r="H929" s="330" t="s">
        <v>1339</v>
      </c>
      <c r="I929" s="326" t="s">
        <v>1340</v>
      </c>
      <c r="J929" s="325"/>
      <c r="K929" s="335">
        <f t="shared" si="28"/>
        <v>0</v>
      </c>
      <c r="L929" s="335">
        <v>0</v>
      </c>
      <c r="M929" s="335"/>
      <c r="N929" s="335">
        <f t="shared" si="29"/>
        <v>0</v>
      </c>
      <c r="O929" s="335">
        <v>0</v>
      </c>
      <c r="P929" s="335"/>
    </row>
    <row r="930" spans="1:16">
      <c r="A930" s="177">
        <v>360</v>
      </c>
      <c r="B930" s="326">
        <v>200</v>
      </c>
      <c r="C930" s="326">
        <v>10</v>
      </c>
      <c r="D930" s="325">
        <v>0</v>
      </c>
      <c r="E930" s="325">
        <v>0</v>
      </c>
      <c r="F930" s="325">
        <v>0</v>
      </c>
      <c r="G930" s="345" t="s">
        <v>3106</v>
      </c>
      <c r="H930" s="345" t="s">
        <v>594</v>
      </c>
      <c r="I930" s="326" t="s">
        <v>1341</v>
      </c>
      <c r="J930" s="325"/>
      <c r="K930" s="336">
        <f t="shared" si="28"/>
        <v>0</v>
      </c>
      <c r="L930" s="336">
        <v>0</v>
      </c>
      <c r="M930" s="336"/>
      <c r="N930" s="336">
        <f t="shared" si="29"/>
        <v>-31.68</v>
      </c>
      <c r="O930" s="336">
        <v>-31.68</v>
      </c>
      <c r="P930" s="336"/>
    </row>
    <row r="931" spans="1:16" ht="25.5">
      <c r="A931" s="177">
        <v>360</v>
      </c>
      <c r="B931" s="326">
        <v>200</v>
      </c>
      <c r="C931" s="326">
        <v>20</v>
      </c>
      <c r="D931" s="325">
        <v>0</v>
      </c>
      <c r="E931" s="325">
        <v>0</v>
      </c>
      <c r="F931" s="325">
        <v>0</v>
      </c>
      <c r="G931" s="345" t="s">
        <v>3107</v>
      </c>
      <c r="H931" s="345" t="s">
        <v>596</v>
      </c>
      <c r="I931" s="326" t="s">
        <v>1342</v>
      </c>
      <c r="J931" s="325"/>
      <c r="K931" s="336">
        <f t="shared" si="28"/>
        <v>2279.4</v>
      </c>
      <c r="L931" s="336">
        <v>2279.4</v>
      </c>
      <c r="M931" s="336"/>
      <c r="N931" s="336">
        <f t="shared" si="29"/>
        <v>-274.01</v>
      </c>
      <c r="O931" s="336">
        <v>-274.01</v>
      </c>
      <c r="P931" s="336"/>
    </row>
    <row r="932" spans="1:16">
      <c r="A932" s="177">
        <v>360</v>
      </c>
      <c r="B932" s="326">
        <v>200</v>
      </c>
      <c r="C932" s="326">
        <v>30</v>
      </c>
      <c r="D932" s="325">
        <v>0</v>
      </c>
      <c r="E932" s="325">
        <v>0</v>
      </c>
      <c r="F932" s="325">
        <v>0</v>
      </c>
      <c r="G932" s="345" t="s">
        <v>3108</v>
      </c>
      <c r="H932" s="345" t="s">
        <v>598</v>
      </c>
      <c r="I932" s="326" t="s">
        <v>1343</v>
      </c>
      <c r="J932" s="325"/>
      <c r="K932" s="336">
        <f t="shared" si="28"/>
        <v>0</v>
      </c>
      <c r="L932" s="336">
        <v>0</v>
      </c>
      <c r="M932" s="336"/>
      <c r="N932" s="336">
        <f t="shared" si="29"/>
        <v>0</v>
      </c>
      <c r="O932" s="336">
        <v>0</v>
      </c>
      <c r="P932" s="336"/>
    </row>
    <row r="933" spans="1:16">
      <c r="A933" s="177">
        <v>360</v>
      </c>
      <c r="B933" s="326">
        <v>200</v>
      </c>
      <c r="C933" s="326">
        <v>40</v>
      </c>
      <c r="D933" s="325">
        <v>0</v>
      </c>
      <c r="E933" s="325">
        <v>0</v>
      </c>
      <c r="F933" s="325">
        <v>0</v>
      </c>
      <c r="G933" s="345" t="s">
        <v>3109</v>
      </c>
      <c r="H933" s="345" t="s">
        <v>600</v>
      </c>
      <c r="I933" s="326" t="s">
        <v>1344</v>
      </c>
      <c r="J933" s="325"/>
      <c r="K933" s="336">
        <f t="shared" si="28"/>
        <v>-10320.41</v>
      </c>
      <c r="L933" s="336">
        <v>-10320.41</v>
      </c>
      <c r="M933" s="336"/>
      <c r="N933" s="336">
        <f t="shared" si="29"/>
        <v>3997.17</v>
      </c>
      <c r="O933" s="336">
        <v>3997.17</v>
      </c>
      <c r="P933" s="336"/>
    </row>
    <row r="934" spans="1:16">
      <c r="A934" s="177">
        <v>360</v>
      </c>
      <c r="B934" s="326">
        <v>200</v>
      </c>
      <c r="C934" s="326">
        <v>50</v>
      </c>
      <c r="D934" s="325">
        <v>0</v>
      </c>
      <c r="E934" s="325">
        <v>0</v>
      </c>
      <c r="F934" s="325">
        <v>0</v>
      </c>
      <c r="G934" s="345" t="s">
        <v>3110</v>
      </c>
      <c r="H934" s="345" t="s">
        <v>605</v>
      </c>
      <c r="I934" s="326" t="s">
        <v>1345</v>
      </c>
      <c r="J934" s="325"/>
      <c r="K934" s="336">
        <f t="shared" si="28"/>
        <v>-626.99</v>
      </c>
      <c r="L934" s="336">
        <v>-626.99</v>
      </c>
      <c r="M934" s="336"/>
      <c r="N934" s="336">
        <f t="shared" si="29"/>
        <v>-1744.84</v>
      </c>
      <c r="O934" s="336">
        <v>-1744.84</v>
      </c>
      <c r="P934" s="336"/>
    </row>
    <row r="935" spans="1:16">
      <c r="A935" s="177">
        <v>360</v>
      </c>
      <c r="B935" s="326">
        <v>200</v>
      </c>
      <c r="C935" s="326">
        <v>60</v>
      </c>
      <c r="D935" s="325">
        <v>0</v>
      </c>
      <c r="E935" s="325">
        <v>0</v>
      </c>
      <c r="F935" s="325">
        <v>0</v>
      </c>
      <c r="G935" s="345" t="s">
        <v>3111</v>
      </c>
      <c r="H935" s="345" t="s">
        <v>2107</v>
      </c>
      <c r="I935" s="326" t="s">
        <v>1346</v>
      </c>
      <c r="J935" s="325"/>
      <c r="K935" s="336">
        <f t="shared" si="28"/>
        <v>1077.1099999999999</v>
      </c>
      <c r="L935" s="336">
        <v>1077.1099999999999</v>
      </c>
      <c r="M935" s="336"/>
      <c r="N935" s="336">
        <f t="shared" si="29"/>
        <v>-21858.11</v>
      </c>
      <c r="O935" s="336">
        <v>-21858.11</v>
      </c>
      <c r="P935" s="336"/>
    </row>
    <row r="936" spans="1:16">
      <c r="A936" s="403">
        <v>365</v>
      </c>
      <c r="B936" s="404">
        <v>0</v>
      </c>
      <c r="C936" s="404">
        <v>0</v>
      </c>
      <c r="D936" s="404">
        <v>0</v>
      </c>
      <c r="E936" s="404">
        <v>0</v>
      </c>
      <c r="F936" s="404">
        <v>0</v>
      </c>
      <c r="G936" s="339">
        <v>365</v>
      </c>
      <c r="H936" s="339" t="s">
        <v>1347</v>
      </c>
      <c r="I936" s="55" t="s">
        <v>1348</v>
      </c>
      <c r="J936" s="55"/>
      <c r="K936" s="335">
        <f t="shared" si="28"/>
        <v>0</v>
      </c>
      <c r="L936" s="335">
        <v>0</v>
      </c>
      <c r="M936" s="335"/>
      <c r="N936" s="335">
        <f t="shared" si="29"/>
        <v>0</v>
      </c>
      <c r="O936" s="335">
        <v>0</v>
      </c>
      <c r="P936" s="335"/>
    </row>
    <row r="937" spans="1:16">
      <c r="A937" s="177">
        <v>365</v>
      </c>
      <c r="B937" s="326">
        <v>100</v>
      </c>
      <c r="C937" s="326">
        <v>0</v>
      </c>
      <c r="D937" s="326">
        <v>0</v>
      </c>
      <c r="E937" s="326">
        <v>0</v>
      </c>
      <c r="F937" s="326">
        <v>0</v>
      </c>
      <c r="G937" s="331" t="s">
        <v>3112</v>
      </c>
      <c r="H937" s="331" t="s">
        <v>1349</v>
      </c>
      <c r="I937" s="326" t="s">
        <v>1350</v>
      </c>
      <c r="J937" s="325"/>
      <c r="K937" s="335">
        <f t="shared" si="28"/>
        <v>0</v>
      </c>
      <c r="L937" s="335">
        <v>0</v>
      </c>
      <c r="M937" s="335"/>
      <c r="N937" s="335">
        <f t="shared" si="29"/>
        <v>0</v>
      </c>
      <c r="O937" s="335">
        <v>0</v>
      </c>
      <c r="P937" s="335"/>
    </row>
    <row r="938" spans="1:16">
      <c r="A938" s="177">
        <v>365</v>
      </c>
      <c r="B938" s="326">
        <v>100</v>
      </c>
      <c r="C938" s="326">
        <v>100</v>
      </c>
      <c r="D938" s="326">
        <v>0</v>
      </c>
      <c r="E938" s="326">
        <v>0</v>
      </c>
      <c r="F938" s="326">
        <v>0</v>
      </c>
      <c r="G938" s="330" t="s">
        <v>3113</v>
      </c>
      <c r="H938" s="330" t="s">
        <v>1351</v>
      </c>
      <c r="I938" s="326" t="s">
        <v>1352</v>
      </c>
      <c r="J938" s="326"/>
      <c r="K938" s="334">
        <f t="shared" si="28"/>
        <v>73169.210000000006</v>
      </c>
      <c r="L938" s="334">
        <v>73169.210000000006</v>
      </c>
      <c r="M938" s="334"/>
      <c r="N938" s="334">
        <f t="shared" si="29"/>
        <v>0</v>
      </c>
      <c r="O938" s="334">
        <v>0</v>
      </c>
      <c r="P938" s="334"/>
    </row>
    <row r="939" spans="1:16" ht="25.5">
      <c r="A939" s="177">
        <v>365</v>
      </c>
      <c r="B939" s="326">
        <v>100</v>
      </c>
      <c r="C939" s="326">
        <v>200</v>
      </c>
      <c r="D939" s="326">
        <v>0</v>
      </c>
      <c r="E939" s="326">
        <v>0</v>
      </c>
      <c r="F939" s="326">
        <v>0</v>
      </c>
      <c r="G939" s="330" t="s">
        <v>3114</v>
      </c>
      <c r="H939" s="330" t="s">
        <v>1353</v>
      </c>
      <c r="I939" s="326" t="s">
        <v>1354</v>
      </c>
      <c r="J939" s="326"/>
      <c r="K939" s="334">
        <f t="shared" si="28"/>
        <v>65445.78</v>
      </c>
      <c r="L939" s="334">
        <v>65445.78</v>
      </c>
      <c r="M939" s="334"/>
      <c r="N939" s="334">
        <f t="shared" si="29"/>
        <v>0</v>
      </c>
      <c r="O939" s="334">
        <v>0</v>
      </c>
      <c r="P939" s="334"/>
    </row>
    <row r="940" spans="1:16" ht="25.5">
      <c r="A940" s="177">
        <v>365</v>
      </c>
      <c r="B940" s="326">
        <v>100</v>
      </c>
      <c r="C940" s="326">
        <v>300</v>
      </c>
      <c r="D940" s="326">
        <v>0</v>
      </c>
      <c r="E940" s="326">
        <v>0</v>
      </c>
      <c r="F940" s="326">
        <v>0</v>
      </c>
      <c r="G940" s="330" t="s">
        <v>3115</v>
      </c>
      <c r="H940" s="330" t="s">
        <v>1355</v>
      </c>
      <c r="I940" s="326" t="s">
        <v>1356</v>
      </c>
      <c r="J940" s="326"/>
      <c r="K940" s="334">
        <f t="shared" si="28"/>
        <v>0</v>
      </c>
      <c r="L940" s="334">
        <v>0</v>
      </c>
      <c r="M940" s="334"/>
      <c r="N940" s="334">
        <f t="shared" si="29"/>
        <v>0</v>
      </c>
      <c r="O940" s="334">
        <v>0</v>
      </c>
      <c r="P940" s="334"/>
    </row>
    <row r="941" spans="1:16" ht="25.5">
      <c r="A941" s="177">
        <v>365</v>
      </c>
      <c r="B941" s="326">
        <v>100</v>
      </c>
      <c r="C941" s="326">
        <v>400</v>
      </c>
      <c r="D941" s="326">
        <v>0</v>
      </c>
      <c r="E941" s="326">
        <v>0</v>
      </c>
      <c r="F941" s="326">
        <v>0</v>
      </c>
      <c r="G941" s="330" t="s">
        <v>3116</v>
      </c>
      <c r="H941" s="330" t="s">
        <v>1357</v>
      </c>
      <c r="I941" s="326" t="s">
        <v>1358</v>
      </c>
      <c r="J941" s="326"/>
      <c r="K941" s="334">
        <f t="shared" si="28"/>
        <v>0</v>
      </c>
      <c r="L941" s="334">
        <v>0</v>
      </c>
      <c r="M941" s="334"/>
      <c r="N941" s="334">
        <f t="shared" si="29"/>
        <v>0</v>
      </c>
      <c r="O941" s="334">
        <v>0</v>
      </c>
      <c r="P941" s="334"/>
    </row>
    <row r="942" spans="1:16">
      <c r="A942" s="177">
        <v>365</v>
      </c>
      <c r="B942" s="326">
        <v>100</v>
      </c>
      <c r="C942" s="326">
        <v>450</v>
      </c>
      <c r="D942" s="326">
        <v>0</v>
      </c>
      <c r="E942" s="326">
        <v>0</v>
      </c>
      <c r="F942" s="326">
        <v>0</v>
      </c>
      <c r="G942" s="330" t="s">
        <v>4882</v>
      </c>
      <c r="H942" s="330" t="s">
        <v>4880</v>
      </c>
      <c r="I942" s="326" t="s">
        <v>1359</v>
      </c>
      <c r="J942" s="325"/>
      <c r="K942" s="336">
        <f t="shared" si="28"/>
        <v>0</v>
      </c>
      <c r="L942" s="336">
        <v>0</v>
      </c>
      <c r="M942" s="336"/>
      <c r="N942" s="336">
        <f t="shared" si="29"/>
        <v>0</v>
      </c>
      <c r="O942" s="336">
        <v>0</v>
      </c>
      <c r="P942" s="336"/>
    </row>
    <row r="943" spans="1:16">
      <c r="A943" s="177">
        <v>365</v>
      </c>
      <c r="B943" s="326">
        <v>100</v>
      </c>
      <c r="C943" s="326">
        <v>460</v>
      </c>
      <c r="D943" s="326">
        <v>0</v>
      </c>
      <c r="E943" s="326">
        <v>0</v>
      </c>
      <c r="F943" s="326">
        <v>0</v>
      </c>
      <c r="G943" s="330" t="s">
        <v>4883</v>
      </c>
      <c r="H943" s="330" t="s">
        <v>4881</v>
      </c>
      <c r="I943" s="326"/>
      <c r="J943" s="325"/>
      <c r="K943" s="336"/>
      <c r="L943" s="336"/>
      <c r="M943" s="336"/>
      <c r="N943" s="336">
        <f t="shared" si="29"/>
        <v>0</v>
      </c>
      <c r="O943" s="336"/>
      <c r="P943" s="336"/>
    </row>
    <row r="944" spans="1:16">
      <c r="A944" s="177">
        <v>365</v>
      </c>
      <c r="B944" s="326">
        <v>100</v>
      </c>
      <c r="C944" s="326">
        <v>500</v>
      </c>
      <c r="D944" s="326">
        <v>0</v>
      </c>
      <c r="E944" s="326">
        <v>0</v>
      </c>
      <c r="F944" s="326">
        <v>0</v>
      </c>
      <c r="G944" s="331" t="s">
        <v>3117</v>
      </c>
      <c r="H944" s="331" t="s">
        <v>1360</v>
      </c>
      <c r="I944" s="326" t="s">
        <v>1361</v>
      </c>
      <c r="J944" s="325"/>
      <c r="K944" s="335">
        <f t="shared" si="28"/>
        <v>0</v>
      </c>
      <c r="L944" s="335">
        <v>0</v>
      </c>
      <c r="M944" s="335"/>
      <c r="N944" s="335">
        <f t="shared" si="29"/>
        <v>0</v>
      </c>
      <c r="O944" s="335">
        <v>0</v>
      </c>
      <c r="P944" s="335"/>
    </row>
    <row r="945" spans="1:16">
      <c r="A945" s="177">
        <v>365</v>
      </c>
      <c r="B945" s="326">
        <v>100</v>
      </c>
      <c r="C945" s="326">
        <v>500</v>
      </c>
      <c r="D945" s="326">
        <v>100</v>
      </c>
      <c r="E945" s="326">
        <v>0</v>
      </c>
      <c r="F945" s="326">
        <v>0</v>
      </c>
      <c r="G945" s="345" t="s">
        <v>3118</v>
      </c>
      <c r="H945" s="345" t="s">
        <v>1362</v>
      </c>
      <c r="I945" s="326"/>
      <c r="J945" s="325"/>
      <c r="K945" s="349">
        <f t="shared" si="28"/>
        <v>0</v>
      </c>
      <c r="L945" s="349">
        <v>0</v>
      </c>
      <c r="M945" s="349"/>
      <c r="N945" s="349">
        <f t="shared" si="29"/>
        <v>0</v>
      </c>
      <c r="O945" s="349">
        <v>0</v>
      </c>
      <c r="P945" s="349"/>
    </row>
    <row r="946" spans="1:16">
      <c r="A946" s="177">
        <v>365</v>
      </c>
      <c r="B946" s="326">
        <v>100</v>
      </c>
      <c r="C946" s="326">
        <v>500</v>
      </c>
      <c r="D946" s="326">
        <v>200</v>
      </c>
      <c r="E946" s="326">
        <v>0</v>
      </c>
      <c r="F946" s="326">
        <v>0</v>
      </c>
      <c r="G946" s="330" t="s">
        <v>3119</v>
      </c>
      <c r="H946" s="330" t="s">
        <v>1363</v>
      </c>
      <c r="I946" s="326"/>
      <c r="J946" s="325"/>
      <c r="K946" s="349">
        <f t="shared" si="28"/>
        <v>0</v>
      </c>
      <c r="L946" s="349">
        <v>0</v>
      </c>
      <c r="M946" s="349"/>
      <c r="N946" s="349">
        <f t="shared" si="29"/>
        <v>0</v>
      </c>
      <c r="O946" s="349">
        <v>0</v>
      </c>
      <c r="P946" s="349"/>
    </row>
    <row r="947" spans="1:16">
      <c r="A947" s="177">
        <v>365</v>
      </c>
      <c r="B947" s="326">
        <v>100</v>
      </c>
      <c r="C947" s="326">
        <v>500</v>
      </c>
      <c r="D947" s="326">
        <v>900</v>
      </c>
      <c r="E947" s="326">
        <v>0</v>
      </c>
      <c r="F947" s="326">
        <v>0</v>
      </c>
      <c r="G947" s="330" t="s">
        <v>3120</v>
      </c>
      <c r="H947" s="330" t="s">
        <v>1360</v>
      </c>
      <c r="I947" s="326"/>
      <c r="J947" s="325"/>
      <c r="K947" s="349">
        <f t="shared" si="28"/>
        <v>0</v>
      </c>
      <c r="L947" s="349">
        <v>0</v>
      </c>
      <c r="M947" s="349"/>
      <c r="N947" s="349">
        <f t="shared" si="29"/>
        <v>0</v>
      </c>
      <c r="O947" s="349">
        <v>0</v>
      </c>
      <c r="P947" s="349"/>
    </row>
    <row r="948" spans="1:16">
      <c r="A948" s="177">
        <v>365</v>
      </c>
      <c r="B948" s="326">
        <v>100</v>
      </c>
      <c r="C948" s="326">
        <v>600</v>
      </c>
      <c r="D948" s="326">
        <v>0</v>
      </c>
      <c r="E948" s="326">
        <v>0</v>
      </c>
      <c r="F948" s="326">
        <v>0</v>
      </c>
      <c r="G948" s="330" t="s">
        <v>3121</v>
      </c>
      <c r="H948" s="330" t="s">
        <v>1364</v>
      </c>
      <c r="I948" s="326" t="s">
        <v>1365</v>
      </c>
      <c r="J948" s="325"/>
      <c r="K948" s="349">
        <f t="shared" si="28"/>
        <v>0</v>
      </c>
      <c r="L948" s="349">
        <v>0</v>
      </c>
      <c r="M948" s="349"/>
      <c r="N948" s="349">
        <f t="shared" si="29"/>
        <v>0</v>
      </c>
      <c r="O948" s="349">
        <v>0</v>
      </c>
      <c r="P948" s="349"/>
    </row>
    <row r="949" spans="1:16">
      <c r="A949" s="177">
        <v>365</v>
      </c>
      <c r="B949" s="326">
        <v>200</v>
      </c>
      <c r="C949" s="326">
        <v>0</v>
      </c>
      <c r="D949" s="326">
        <v>0</v>
      </c>
      <c r="E949" s="326">
        <v>0</v>
      </c>
      <c r="F949" s="326">
        <v>0</v>
      </c>
      <c r="G949" s="331" t="s">
        <v>3122</v>
      </c>
      <c r="H949" s="331" t="s">
        <v>1366</v>
      </c>
      <c r="I949" s="326" t="s">
        <v>1367</v>
      </c>
      <c r="J949" s="325"/>
      <c r="K949" s="335">
        <f t="shared" si="28"/>
        <v>0</v>
      </c>
      <c r="L949" s="335">
        <v>0</v>
      </c>
      <c r="M949" s="335"/>
      <c r="N949" s="335">
        <f t="shared" si="29"/>
        <v>0</v>
      </c>
      <c r="O949" s="335">
        <v>0</v>
      </c>
      <c r="P949" s="335"/>
    </row>
    <row r="950" spans="1:16" ht="25.5">
      <c r="A950" s="177">
        <v>365</v>
      </c>
      <c r="B950" s="326">
        <v>200</v>
      </c>
      <c r="C950" s="326">
        <v>100</v>
      </c>
      <c r="D950" s="326">
        <v>0</v>
      </c>
      <c r="E950" s="326">
        <v>0</v>
      </c>
      <c r="F950" s="326">
        <v>0</v>
      </c>
      <c r="G950" s="330" t="s">
        <v>3123</v>
      </c>
      <c r="H950" s="330" t="s">
        <v>1368</v>
      </c>
      <c r="I950" s="326"/>
      <c r="J950" s="326"/>
      <c r="K950" s="341">
        <f t="shared" si="28"/>
        <v>0</v>
      </c>
      <c r="L950" s="341">
        <v>0</v>
      </c>
      <c r="M950" s="341"/>
      <c r="N950" s="341">
        <f t="shared" si="29"/>
        <v>0</v>
      </c>
      <c r="O950" s="341">
        <v>0</v>
      </c>
      <c r="P950" s="341"/>
    </row>
    <row r="951" spans="1:16">
      <c r="A951" s="177">
        <v>365</v>
      </c>
      <c r="B951" s="326">
        <v>200</v>
      </c>
      <c r="C951" s="326">
        <v>200</v>
      </c>
      <c r="D951" s="326">
        <v>0</v>
      </c>
      <c r="E951" s="326">
        <v>0</v>
      </c>
      <c r="F951" s="326">
        <v>0</v>
      </c>
      <c r="G951" s="330" t="s">
        <v>3124</v>
      </c>
      <c r="H951" s="330" t="s">
        <v>1369</v>
      </c>
      <c r="I951" s="326"/>
      <c r="J951" s="326"/>
      <c r="K951" s="341">
        <f t="shared" si="28"/>
        <v>0</v>
      </c>
      <c r="L951" s="341">
        <v>0</v>
      </c>
      <c r="M951" s="341"/>
      <c r="N951" s="341">
        <f t="shared" si="29"/>
        <v>0</v>
      </c>
      <c r="O951" s="341">
        <v>0</v>
      </c>
      <c r="P951" s="341"/>
    </row>
    <row r="952" spans="1:16">
      <c r="A952" s="177">
        <v>365</v>
      </c>
      <c r="B952" s="326">
        <v>300</v>
      </c>
      <c r="C952" s="326">
        <v>0</v>
      </c>
      <c r="D952" s="326">
        <v>0</v>
      </c>
      <c r="E952" s="326">
        <v>0</v>
      </c>
      <c r="F952" s="326">
        <v>0</v>
      </c>
      <c r="G952" s="331" t="s">
        <v>3125</v>
      </c>
      <c r="H952" s="331" t="s">
        <v>1370</v>
      </c>
      <c r="I952" s="326" t="s">
        <v>1371</v>
      </c>
      <c r="J952" s="325"/>
      <c r="K952" s="335">
        <f t="shared" ref="K952:K1015" si="30">+L952+M952</f>
        <v>0</v>
      </c>
      <c r="L952" s="335">
        <v>0</v>
      </c>
      <c r="M952" s="335"/>
      <c r="N952" s="335">
        <f t="shared" si="29"/>
        <v>0</v>
      </c>
      <c r="O952" s="335">
        <v>0</v>
      </c>
      <c r="P952" s="335"/>
    </row>
    <row r="953" spans="1:16" ht="38.25">
      <c r="A953" s="177">
        <v>365</v>
      </c>
      <c r="B953" s="326">
        <v>300</v>
      </c>
      <c r="C953" s="326">
        <v>50</v>
      </c>
      <c r="D953" s="326">
        <v>0</v>
      </c>
      <c r="E953" s="326">
        <v>0</v>
      </c>
      <c r="F953" s="326">
        <v>0</v>
      </c>
      <c r="G953" s="330" t="s">
        <v>3126</v>
      </c>
      <c r="H953" s="330" t="s">
        <v>1372</v>
      </c>
      <c r="I953" s="326" t="s">
        <v>1373</v>
      </c>
      <c r="J953" s="326"/>
      <c r="K953" s="334">
        <f t="shared" si="30"/>
        <v>253169.98</v>
      </c>
      <c r="L953" s="334">
        <v>253169.98</v>
      </c>
      <c r="M953" s="334"/>
      <c r="N953" s="334">
        <f t="shared" si="29"/>
        <v>1828540.44</v>
      </c>
      <c r="O953" s="334">
        <v>1828540.44</v>
      </c>
      <c r="P953" s="334"/>
    </row>
    <row r="954" spans="1:16" ht="25.5">
      <c r="A954" s="177">
        <v>365</v>
      </c>
      <c r="B954" s="326">
        <v>300</v>
      </c>
      <c r="C954" s="326">
        <v>100</v>
      </c>
      <c r="D954" s="326">
        <v>0</v>
      </c>
      <c r="E954" s="326">
        <v>0</v>
      </c>
      <c r="F954" s="326">
        <v>0</v>
      </c>
      <c r="G954" s="330" t="s">
        <v>3127</v>
      </c>
      <c r="H954" s="330" t="s">
        <v>1374</v>
      </c>
      <c r="I954" s="326" t="s">
        <v>1375</v>
      </c>
      <c r="J954" s="326"/>
      <c r="K954" s="334">
        <f t="shared" si="30"/>
        <v>0</v>
      </c>
      <c r="L954" s="334">
        <v>0</v>
      </c>
      <c r="M954" s="334"/>
      <c r="N954" s="334">
        <f t="shared" si="29"/>
        <v>0</v>
      </c>
      <c r="O954" s="334">
        <v>0</v>
      </c>
      <c r="P954" s="334"/>
    </row>
    <row r="955" spans="1:16" ht="25.5">
      <c r="A955" s="177">
        <v>365</v>
      </c>
      <c r="B955" s="326">
        <v>300</v>
      </c>
      <c r="C955" s="326">
        <v>200</v>
      </c>
      <c r="D955" s="326">
        <v>0</v>
      </c>
      <c r="E955" s="326">
        <v>0</v>
      </c>
      <c r="F955" s="326">
        <v>0</v>
      </c>
      <c r="G955" s="330" t="s">
        <v>3128</v>
      </c>
      <c r="H955" s="330" t="s">
        <v>1376</v>
      </c>
      <c r="I955" s="326" t="s">
        <v>1377</v>
      </c>
      <c r="J955" s="326"/>
      <c r="K955" s="334">
        <f t="shared" si="30"/>
        <v>1381551.48</v>
      </c>
      <c r="L955" s="334">
        <v>1381551.48</v>
      </c>
      <c r="M955" s="334"/>
      <c r="N955" s="334">
        <f t="shared" si="29"/>
        <v>1453341.53</v>
      </c>
      <c r="O955" s="334">
        <v>1453341.53</v>
      </c>
      <c r="P955" s="334"/>
    </row>
    <row r="956" spans="1:16" ht="25.5">
      <c r="A956" s="177">
        <v>365</v>
      </c>
      <c r="B956" s="326">
        <v>300</v>
      </c>
      <c r="C956" s="326">
        <v>300</v>
      </c>
      <c r="D956" s="326">
        <v>0</v>
      </c>
      <c r="E956" s="326">
        <v>0</v>
      </c>
      <c r="F956" s="326">
        <v>0</v>
      </c>
      <c r="G956" s="330" t="s">
        <v>3129</v>
      </c>
      <c r="H956" s="330" t="s">
        <v>1378</v>
      </c>
      <c r="I956" s="326" t="s">
        <v>1379</v>
      </c>
      <c r="J956" s="326"/>
      <c r="K956" s="334">
        <f t="shared" si="30"/>
        <v>1288763.03</v>
      </c>
      <c r="L956" s="334">
        <v>1288763.03</v>
      </c>
      <c r="M956" s="334"/>
      <c r="N956" s="334">
        <f t="shared" si="29"/>
        <v>1620572.45</v>
      </c>
      <c r="O956" s="334">
        <v>1620572.45</v>
      </c>
      <c r="P956" s="334"/>
    </row>
    <row r="957" spans="1:16" ht="25.5">
      <c r="A957" s="177">
        <v>365</v>
      </c>
      <c r="B957" s="326">
        <v>300</v>
      </c>
      <c r="C957" s="326">
        <v>400</v>
      </c>
      <c r="D957" s="326">
        <v>0</v>
      </c>
      <c r="E957" s="326">
        <v>0</v>
      </c>
      <c r="F957" s="326">
        <v>0</v>
      </c>
      <c r="G957" s="331" t="s">
        <v>3130</v>
      </c>
      <c r="H957" s="331" t="s">
        <v>1380</v>
      </c>
      <c r="I957" s="326" t="s">
        <v>1381</v>
      </c>
      <c r="J957" s="325"/>
      <c r="K957" s="335">
        <f t="shared" si="30"/>
        <v>0</v>
      </c>
      <c r="L957" s="335">
        <v>0</v>
      </c>
      <c r="M957" s="335"/>
      <c r="N957" s="335">
        <f t="shared" si="29"/>
        <v>0</v>
      </c>
      <c r="O957" s="335">
        <v>0</v>
      </c>
      <c r="P957" s="335"/>
    </row>
    <row r="958" spans="1:16" ht="25.5">
      <c r="A958" s="177">
        <v>365</v>
      </c>
      <c r="B958" s="326">
        <v>300</v>
      </c>
      <c r="C958" s="326">
        <v>400</v>
      </c>
      <c r="D958" s="326">
        <v>100</v>
      </c>
      <c r="E958" s="326">
        <v>0</v>
      </c>
      <c r="F958" s="326">
        <v>0</v>
      </c>
      <c r="G958" s="330" t="s">
        <v>3131</v>
      </c>
      <c r="H958" s="330" t="s">
        <v>1382</v>
      </c>
      <c r="I958" s="326"/>
      <c r="J958" s="326"/>
      <c r="K958" s="341">
        <f t="shared" si="30"/>
        <v>134650.20000000001</v>
      </c>
      <c r="L958" s="341">
        <v>134650.20000000001</v>
      </c>
      <c r="M958" s="341"/>
      <c r="N958" s="341">
        <f t="shared" si="29"/>
        <v>65290.22</v>
      </c>
      <c r="O958" s="341">
        <v>65290.22</v>
      </c>
      <c r="P958" s="341"/>
    </row>
    <row r="959" spans="1:16" ht="25.5">
      <c r="A959" s="177">
        <v>365</v>
      </c>
      <c r="B959" s="326">
        <v>300</v>
      </c>
      <c r="C959" s="326">
        <v>400</v>
      </c>
      <c r="D959" s="326">
        <v>200</v>
      </c>
      <c r="E959" s="326">
        <v>0</v>
      </c>
      <c r="F959" s="326">
        <v>0</v>
      </c>
      <c r="G959" s="330" t="s">
        <v>3132</v>
      </c>
      <c r="H959" s="330" t="s">
        <v>1383</v>
      </c>
      <c r="I959" s="326"/>
      <c r="J959" s="326"/>
      <c r="K959" s="341">
        <f t="shared" si="30"/>
        <v>1536585.96</v>
      </c>
      <c r="L959" s="341">
        <v>1536585.96</v>
      </c>
      <c r="M959" s="341"/>
      <c r="N959" s="341">
        <f t="shared" si="29"/>
        <v>202538.37</v>
      </c>
      <c r="O959" s="341">
        <v>202538.37</v>
      </c>
      <c r="P959" s="341"/>
    </row>
    <row r="960" spans="1:16" ht="25.5">
      <c r="A960" s="177">
        <v>365</v>
      </c>
      <c r="B960" s="326">
        <v>300</v>
      </c>
      <c r="C960" s="326">
        <v>500</v>
      </c>
      <c r="D960" s="326">
        <v>0</v>
      </c>
      <c r="E960" s="326">
        <v>0</v>
      </c>
      <c r="F960" s="326">
        <v>0</v>
      </c>
      <c r="G960" s="330" t="s">
        <v>3133</v>
      </c>
      <c r="H960" s="330" t="s">
        <v>1384</v>
      </c>
      <c r="I960" s="326" t="s">
        <v>1385</v>
      </c>
      <c r="J960" s="326"/>
      <c r="K960" s="341">
        <f t="shared" si="30"/>
        <v>1768528.38</v>
      </c>
      <c r="L960" s="341">
        <v>1768528.38</v>
      </c>
      <c r="M960" s="341"/>
      <c r="N960" s="341">
        <f t="shared" si="29"/>
        <v>1386112.63</v>
      </c>
      <c r="O960" s="341">
        <v>1386112.63</v>
      </c>
      <c r="P960" s="341"/>
    </row>
    <row r="961" spans="1:16">
      <c r="A961" s="177">
        <v>365</v>
      </c>
      <c r="B961" s="326">
        <v>400</v>
      </c>
      <c r="C961" s="326">
        <v>0</v>
      </c>
      <c r="D961" s="326">
        <v>0</v>
      </c>
      <c r="E961" s="326">
        <v>0</v>
      </c>
      <c r="F961" s="326">
        <v>0</v>
      </c>
      <c r="G961" s="331" t="s">
        <v>3134</v>
      </c>
      <c r="H961" s="331" t="s">
        <v>1386</v>
      </c>
      <c r="I961" s="326" t="s">
        <v>1387</v>
      </c>
      <c r="J961" s="325"/>
      <c r="K961" s="335">
        <f t="shared" si="30"/>
        <v>0</v>
      </c>
      <c r="L961" s="335">
        <v>0</v>
      </c>
      <c r="M961" s="335"/>
      <c r="N961" s="335">
        <f t="shared" si="29"/>
        <v>0</v>
      </c>
      <c r="O961" s="335">
        <v>0</v>
      </c>
      <c r="P961" s="335"/>
    </row>
    <row r="962" spans="1:16">
      <c r="A962" s="177">
        <v>365</v>
      </c>
      <c r="B962" s="326">
        <v>400</v>
      </c>
      <c r="C962" s="326">
        <v>200</v>
      </c>
      <c r="D962" s="326">
        <v>0</v>
      </c>
      <c r="E962" s="326">
        <v>0</v>
      </c>
      <c r="F962" s="326">
        <v>0</v>
      </c>
      <c r="G962" s="330" t="s">
        <v>3135</v>
      </c>
      <c r="H962" s="330" t="s">
        <v>1388</v>
      </c>
      <c r="I962" s="326" t="s">
        <v>1389</v>
      </c>
      <c r="J962" s="326"/>
      <c r="K962" s="334">
        <f t="shared" si="30"/>
        <v>0</v>
      </c>
      <c r="L962" s="334">
        <v>0</v>
      </c>
      <c r="M962" s="334"/>
      <c r="N962" s="334">
        <f t="shared" si="29"/>
        <v>0</v>
      </c>
      <c r="O962" s="334">
        <v>0</v>
      </c>
      <c r="P962" s="334"/>
    </row>
    <row r="963" spans="1:16">
      <c r="A963" s="177">
        <v>365</v>
      </c>
      <c r="B963" s="326">
        <v>400</v>
      </c>
      <c r="C963" s="326">
        <v>300</v>
      </c>
      <c r="D963" s="326">
        <v>0</v>
      </c>
      <c r="E963" s="326">
        <v>0</v>
      </c>
      <c r="F963" s="326">
        <v>0</v>
      </c>
      <c r="G963" s="330" t="s">
        <v>3136</v>
      </c>
      <c r="H963" s="330" t="s">
        <v>1390</v>
      </c>
      <c r="I963" s="326" t="s">
        <v>1391</v>
      </c>
      <c r="J963" s="326"/>
      <c r="K963" s="334">
        <f t="shared" si="30"/>
        <v>0</v>
      </c>
      <c r="L963" s="334">
        <v>0</v>
      </c>
      <c r="M963" s="334"/>
      <c r="N963" s="334">
        <f t="shared" si="29"/>
        <v>0</v>
      </c>
      <c r="O963" s="334">
        <v>0</v>
      </c>
      <c r="P963" s="334"/>
    </row>
    <row r="964" spans="1:16">
      <c r="A964" s="177">
        <v>365</v>
      </c>
      <c r="B964" s="326">
        <v>400</v>
      </c>
      <c r="C964" s="326">
        <v>400</v>
      </c>
      <c r="D964" s="326">
        <v>0</v>
      </c>
      <c r="E964" s="326">
        <v>0</v>
      </c>
      <c r="F964" s="326">
        <v>0</v>
      </c>
      <c r="G964" s="330" t="s">
        <v>3137</v>
      </c>
      <c r="H964" s="330" t="s">
        <v>1392</v>
      </c>
      <c r="I964" s="326" t="s">
        <v>1393</v>
      </c>
      <c r="J964" s="326"/>
      <c r="K964" s="334">
        <f t="shared" si="30"/>
        <v>907292.02</v>
      </c>
      <c r="L964" s="334">
        <v>907292.02</v>
      </c>
      <c r="M964" s="334"/>
      <c r="N964" s="334">
        <f t="shared" si="29"/>
        <v>457035.37</v>
      </c>
      <c r="O964" s="334">
        <v>457035.37</v>
      </c>
      <c r="P964" s="334"/>
    </row>
    <row r="965" spans="1:16">
      <c r="A965" s="177">
        <v>365</v>
      </c>
      <c r="B965" s="326">
        <v>400</v>
      </c>
      <c r="C965" s="326">
        <v>500</v>
      </c>
      <c r="D965" s="326">
        <v>0</v>
      </c>
      <c r="E965" s="326">
        <v>0</v>
      </c>
      <c r="F965" s="326">
        <v>0</v>
      </c>
      <c r="G965" s="330" t="s">
        <v>3138</v>
      </c>
      <c r="H965" s="330" t="s">
        <v>1394</v>
      </c>
      <c r="I965" s="326" t="s">
        <v>1395</v>
      </c>
      <c r="J965" s="326"/>
      <c r="K965" s="334">
        <f t="shared" si="30"/>
        <v>146106.09</v>
      </c>
      <c r="L965" s="334">
        <v>146106.09</v>
      </c>
      <c r="M965" s="334"/>
      <c r="N965" s="334">
        <f t="shared" si="29"/>
        <v>85317.38</v>
      </c>
      <c r="O965" s="334">
        <v>85317.38</v>
      </c>
      <c r="P965" s="334"/>
    </row>
    <row r="966" spans="1:16">
      <c r="A966" s="177">
        <v>365</v>
      </c>
      <c r="B966" s="326">
        <v>400</v>
      </c>
      <c r="C966" s="326">
        <v>600</v>
      </c>
      <c r="D966" s="326">
        <v>0</v>
      </c>
      <c r="E966" s="326">
        <v>0</v>
      </c>
      <c r="F966" s="326">
        <v>0</v>
      </c>
      <c r="G966" s="330" t="s">
        <v>3139</v>
      </c>
      <c r="H966" s="330" t="s">
        <v>1396</v>
      </c>
      <c r="I966" s="326" t="s">
        <v>1397</v>
      </c>
      <c r="J966" s="326"/>
      <c r="K966" s="334">
        <f t="shared" si="30"/>
        <v>400472.81</v>
      </c>
      <c r="L966" s="334">
        <v>400472.81</v>
      </c>
      <c r="M966" s="334"/>
      <c r="N966" s="334">
        <f t="shared" si="29"/>
        <v>747488.97</v>
      </c>
      <c r="O966" s="334">
        <v>747488.97</v>
      </c>
      <c r="P966" s="334"/>
    </row>
    <row r="967" spans="1:16">
      <c r="A967" s="177">
        <v>365</v>
      </c>
      <c r="B967" s="326">
        <v>400</v>
      </c>
      <c r="C967" s="326">
        <v>610</v>
      </c>
      <c r="D967" s="328">
        <v>0</v>
      </c>
      <c r="E967" s="328">
        <v>0</v>
      </c>
      <c r="F967" s="328">
        <v>0</v>
      </c>
      <c r="G967" s="330" t="s">
        <v>3140</v>
      </c>
      <c r="H967" s="330" t="s">
        <v>1398</v>
      </c>
      <c r="I967" s="326" t="s">
        <v>1399</v>
      </c>
      <c r="J967" s="326"/>
      <c r="K967" s="334">
        <f t="shared" si="30"/>
        <v>0</v>
      </c>
      <c r="L967" s="334">
        <v>0</v>
      </c>
      <c r="M967" s="334"/>
      <c r="N967" s="334">
        <f t="shared" ref="N967:N1022" si="31">+O967+P967</f>
        <v>0</v>
      </c>
      <c r="O967" s="334">
        <v>0</v>
      </c>
      <c r="P967" s="334"/>
    </row>
    <row r="968" spans="1:16">
      <c r="A968" s="177">
        <v>365</v>
      </c>
      <c r="B968" s="326">
        <v>400</v>
      </c>
      <c r="C968" s="326">
        <v>620</v>
      </c>
      <c r="D968" s="328">
        <v>0</v>
      </c>
      <c r="E968" s="328">
        <v>0</v>
      </c>
      <c r="F968" s="328">
        <v>0</v>
      </c>
      <c r="G968" s="330" t="s">
        <v>3141</v>
      </c>
      <c r="H968" s="330" t="s">
        <v>1400</v>
      </c>
      <c r="I968" s="326" t="s">
        <v>1401</v>
      </c>
      <c r="J968" s="326"/>
      <c r="K968" s="334">
        <f t="shared" si="30"/>
        <v>0</v>
      </c>
      <c r="L968" s="334">
        <v>0</v>
      </c>
      <c r="M968" s="334"/>
      <c r="N968" s="334">
        <f t="shared" si="31"/>
        <v>0</v>
      </c>
      <c r="O968" s="334">
        <v>0</v>
      </c>
      <c r="P968" s="334"/>
    </row>
    <row r="969" spans="1:16">
      <c r="A969" s="177">
        <v>365</v>
      </c>
      <c r="B969" s="326">
        <v>400</v>
      </c>
      <c r="C969" s="326">
        <v>630</v>
      </c>
      <c r="D969" s="328">
        <v>0</v>
      </c>
      <c r="E969" s="328">
        <v>0</v>
      </c>
      <c r="F969" s="328">
        <v>0</v>
      </c>
      <c r="G969" s="330" t="s">
        <v>3142</v>
      </c>
      <c r="H969" s="330" t="s">
        <v>1402</v>
      </c>
      <c r="I969" s="326" t="s">
        <v>1403</v>
      </c>
      <c r="J969" s="326"/>
      <c r="K969" s="334">
        <f t="shared" si="30"/>
        <v>0</v>
      </c>
      <c r="L969" s="334">
        <v>0</v>
      </c>
      <c r="M969" s="334"/>
      <c r="N969" s="334">
        <f t="shared" si="31"/>
        <v>0</v>
      </c>
      <c r="O969" s="334">
        <v>0</v>
      </c>
      <c r="P969" s="334"/>
    </row>
    <row r="970" spans="1:16">
      <c r="A970" s="177">
        <v>365</v>
      </c>
      <c r="B970" s="326">
        <v>400</v>
      </c>
      <c r="C970" s="326">
        <v>640</v>
      </c>
      <c r="D970" s="328">
        <v>0</v>
      </c>
      <c r="E970" s="328">
        <v>0</v>
      </c>
      <c r="F970" s="328">
        <v>0</v>
      </c>
      <c r="G970" s="330" t="s">
        <v>3143</v>
      </c>
      <c r="H970" s="330" t="s">
        <v>1404</v>
      </c>
      <c r="I970" s="326" t="s">
        <v>1405</v>
      </c>
      <c r="J970" s="326"/>
      <c r="K970" s="334">
        <f t="shared" si="30"/>
        <v>125923.18</v>
      </c>
      <c r="L970" s="334">
        <v>125923.18</v>
      </c>
      <c r="M970" s="334"/>
      <c r="N970" s="334">
        <f t="shared" si="31"/>
        <v>54239.32</v>
      </c>
      <c r="O970" s="334">
        <v>54239.32</v>
      </c>
      <c r="P970" s="334"/>
    </row>
    <row r="971" spans="1:16">
      <c r="A971" s="177">
        <v>365</v>
      </c>
      <c r="B971" s="326">
        <v>400</v>
      </c>
      <c r="C971" s="328">
        <v>700</v>
      </c>
      <c r="D971" s="326">
        <v>0</v>
      </c>
      <c r="E971" s="326">
        <v>0</v>
      </c>
      <c r="F971" s="326">
        <v>0</v>
      </c>
      <c r="G971" s="331" t="s">
        <v>3144</v>
      </c>
      <c r="H971" s="331" t="s">
        <v>1386</v>
      </c>
      <c r="I971" s="326" t="s">
        <v>1406</v>
      </c>
      <c r="J971" s="325"/>
      <c r="K971" s="336">
        <f t="shared" si="30"/>
        <v>0</v>
      </c>
      <c r="L971" s="336">
        <v>0</v>
      </c>
      <c r="M971" s="336"/>
      <c r="N971" s="336">
        <f t="shared" si="31"/>
        <v>0</v>
      </c>
      <c r="O971" s="336">
        <v>0</v>
      </c>
      <c r="P971" s="336"/>
    </row>
    <row r="972" spans="1:16">
      <c r="A972" s="403">
        <v>370</v>
      </c>
      <c r="B972" s="404">
        <v>0</v>
      </c>
      <c r="C972" s="405">
        <v>0</v>
      </c>
      <c r="D972" s="404">
        <v>0</v>
      </c>
      <c r="E972" s="404">
        <v>0</v>
      </c>
      <c r="F972" s="404">
        <v>0</v>
      </c>
      <c r="G972" s="339">
        <v>370</v>
      </c>
      <c r="H972" s="339" t="s">
        <v>1407</v>
      </c>
      <c r="I972" s="55" t="s">
        <v>1408</v>
      </c>
      <c r="J972" s="55"/>
      <c r="K972" s="335">
        <f t="shared" si="30"/>
        <v>0</v>
      </c>
      <c r="L972" s="335">
        <v>0</v>
      </c>
      <c r="M972" s="335"/>
      <c r="N972" s="335">
        <f t="shared" si="31"/>
        <v>0</v>
      </c>
      <c r="O972" s="335">
        <v>0</v>
      </c>
      <c r="P972" s="335"/>
    </row>
    <row r="973" spans="1:16">
      <c r="A973" s="179">
        <v>370</v>
      </c>
      <c r="B973" s="178">
        <v>100</v>
      </c>
      <c r="C973" s="178">
        <v>0</v>
      </c>
      <c r="D973" s="178">
        <v>0</v>
      </c>
      <c r="E973" s="178">
        <v>0</v>
      </c>
      <c r="F973" s="178">
        <v>0</v>
      </c>
      <c r="G973" s="330" t="s">
        <v>3145</v>
      </c>
      <c r="H973" s="330" t="s">
        <v>1409</v>
      </c>
      <c r="I973" s="178" t="s">
        <v>1410</v>
      </c>
      <c r="J973" s="178"/>
      <c r="K973" s="334">
        <f t="shared" si="30"/>
        <v>0</v>
      </c>
      <c r="L973" s="334">
        <v>0</v>
      </c>
      <c r="M973" s="334"/>
      <c r="N973" s="334">
        <f t="shared" si="31"/>
        <v>0</v>
      </c>
      <c r="O973" s="334">
        <v>0</v>
      </c>
      <c r="P973" s="334"/>
    </row>
    <row r="974" spans="1:16">
      <c r="A974" s="179">
        <v>370</v>
      </c>
      <c r="B974" s="178">
        <v>200</v>
      </c>
      <c r="C974" s="178">
        <v>0</v>
      </c>
      <c r="D974" s="178">
        <v>0</v>
      </c>
      <c r="E974" s="178">
        <v>0</v>
      </c>
      <c r="F974" s="178">
        <v>0</v>
      </c>
      <c r="G974" s="330" t="s">
        <v>3146</v>
      </c>
      <c r="H974" s="330" t="s">
        <v>1411</v>
      </c>
      <c r="I974" s="178" t="s">
        <v>1412</v>
      </c>
      <c r="J974" s="178"/>
      <c r="K974" s="334">
        <f t="shared" si="30"/>
        <v>0</v>
      </c>
      <c r="L974" s="334">
        <v>0</v>
      </c>
      <c r="M974" s="334"/>
      <c r="N974" s="334">
        <f t="shared" si="31"/>
        <v>0</v>
      </c>
      <c r="O974" s="334">
        <v>0</v>
      </c>
      <c r="P974" s="334"/>
    </row>
    <row r="975" spans="1:16">
      <c r="A975" s="179">
        <v>370</v>
      </c>
      <c r="B975" s="178">
        <v>300</v>
      </c>
      <c r="C975" s="178">
        <v>0</v>
      </c>
      <c r="D975" s="178">
        <v>0</v>
      </c>
      <c r="E975" s="178">
        <v>0</v>
      </c>
      <c r="F975" s="178">
        <v>0</v>
      </c>
      <c r="G975" s="331" t="s">
        <v>3147</v>
      </c>
      <c r="H975" s="331" t="s">
        <v>1413</v>
      </c>
      <c r="I975" s="178" t="s">
        <v>1414</v>
      </c>
      <c r="J975" s="350"/>
      <c r="K975" s="335">
        <f t="shared" si="30"/>
        <v>0</v>
      </c>
      <c r="L975" s="335">
        <v>0</v>
      </c>
      <c r="M975" s="335"/>
      <c r="N975" s="335">
        <f t="shared" si="31"/>
        <v>0</v>
      </c>
      <c r="O975" s="335">
        <v>0</v>
      </c>
      <c r="P975" s="335"/>
    </row>
    <row r="976" spans="1:16">
      <c r="A976" s="179">
        <v>370</v>
      </c>
      <c r="B976" s="178">
        <v>300</v>
      </c>
      <c r="C976" s="178">
        <v>100</v>
      </c>
      <c r="D976" s="178">
        <v>0</v>
      </c>
      <c r="E976" s="178">
        <v>0</v>
      </c>
      <c r="F976" s="178">
        <v>0</v>
      </c>
      <c r="G976" s="343" t="s">
        <v>3148</v>
      </c>
      <c r="H976" s="343" t="s">
        <v>469</v>
      </c>
      <c r="I976" s="178"/>
      <c r="J976" s="178"/>
      <c r="K976" s="344">
        <f t="shared" si="30"/>
        <v>5.6</v>
      </c>
      <c r="L976" s="344">
        <v>5.6</v>
      </c>
      <c r="M976" s="344"/>
      <c r="N976" s="344">
        <f t="shared" si="31"/>
        <v>0</v>
      </c>
      <c r="O976" s="344">
        <v>0</v>
      </c>
      <c r="P976" s="344"/>
    </row>
    <row r="977" spans="1:16">
      <c r="A977" s="179">
        <v>370</v>
      </c>
      <c r="B977" s="178">
        <v>300</v>
      </c>
      <c r="C977" s="178">
        <v>900</v>
      </c>
      <c r="D977" s="178">
        <v>0</v>
      </c>
      <c r="E977" s="178">
        <v>0</v>
      </c>
      <c r="F977" s="178">
        <v>0</v>
      </c>
      <c r="G977" s="343" t="s">
        <v>3149</v>
      </c>
      <c r="H977" s="343" t="s">
        <v>1413</v>
      </c>
      <c r="I977" s="178"/>
      <c r="J977" s="178"/>
      <c r="K977" s="344">
        <f t="shared" si="30"/>
        <v>0</v>
      </c>
      <c r="L977" s="344">
        <v>0</v>
      </c>
      <c r="M977" s="344"/>
      <c r="N977" s="344">
        <f t="shared" si="31"/>
        <v>7.18</v>
      </c>
      <c r="O977" s="344">
        <v>7.18</v>
      </c>
      <c r="P977" s="344"/>
    </row>
    <row r="978" spans="1:16">
      <c r="A978" s="403">
        <v>375</v>
      </c>
      <c r="B978" s="404">
        <v>0</v>
      </c>
      <c r="C978" s="404">
        <v>0</v>
      </c>
      <c r="D978" s="404">
        <v>0</v>
      </c>
      <c r="E978" s="404">
        <v>0</v>
      </c>
      <c r="F978" s="404">
        <v>0</v>
      </c>
      <c r="G978" s="339">
        <v>375</v>
      </c>
      <c r="H978" s="339" t="s">
        <v>1415</v>
      </c>
      <c r="I978" s="55"/>
      <c r="J978" s="55"/>
      <c r="K978" s="335">
        <f t="shared" si="30"/>
        <v>0</v>
      </c>
      <c r="L978" s="335">
        <v>0</v>
      </c>
      <c r="M978" s="335"/>
      <c r="N978" s="335">
        <f t="shared" si="31"/>
        <v>0</v>
      </c>
      <c r="O978" s="335">
        <v>0</v>
      </c>
      <c r="P978" s="335"/>
    </row>
    <row r="979" spans="1:16">
      <c r="A979" s="179">
        <v>375</v>
      </c>
      <c r="B979" s="178">
        <v>100</v>
      </c>
      <c r="C979" s="178">
        <v>0</v>
      </c>
      <c r="D979" s="178">
        <v>0</v>
      </c>
      <c r="E979" s="178">
        <v>0</v>
      </c>
      <c r="F979" s="178">
        <v>0</v>
      </c>
      <c r="G979" s="330" t="s">
        <v>3150</v>
      </c>
      <c r="H979" s="330" t="s">
        <v>1416</v>
      </c>
      <c r="I979" s="178" t="s">
        <v>1417</v>
      </c>
      <c r="J979" s="178"/>
      <c r="K979" s="334">
        <f t="shared" si="30"/>
        <v>0</v>
      </c>
      <c r="L979" s="334">
        <v>0</v>
      </c>
      <c r="M979" s="334"/>
      <c r="N979" s="334">
        <f t="shared" si="31"/>
        <v>0</v>
      </c>
      <c r="O979" s="334">
        <v>0</v>
      </c>
      <c r="P979" s="334"/>
    </row>
    <row r="980" spans="1:16">
      <c r="A980" s="179">
        <v>375</v>
      </c>
      <c r="B980" s="178">
        <v>200</v>
      </c>
      <c r="C980" s="178">
        <v>0</v>
      </c>
      <c r="D980" s="178">
        <v>0</v>
      </c>
      <c r="E980" s="178">
        <v>0</v>
      </c>
      <c r="F980" s="178">
        <v>0</v>
      </c>
      <c r="G980" s="330" t="s">
        <v>3151</v>
      </c>
      <c r="H980" s="330" t="s">
        <v>1418</v>
      </c>
      <c r="I980" s="178" t="s">
        <v>1419</v>
      </c>
      <c r="J980" s="178"/>
      <c r="K980" s="334">
        <f t="shared" si="30"/>
        <v>0</v>
      </c>
      <c r="L980" s="334">
        <v>0</v>
      </c>
      <c r="M980" s="334"/>
      <c r="N980" s="334">
        <f t="shared" si="31"/>
        <v>0</v>
      </c>
      <c r="O980" s="334">
        <v>0</v>
      </c>
      <c r="P980" s="334"/>
    </row>
    <row r="981" spans="1:16" ht="25.5">
      <c r="A981" s="177">
        <v>380</v>
      </c>
      <c r="B981" s="326">
        <v>0</v>
      </c>
      <c r="C981" s="326">
        <v>0</v>
      </c>
      <c r="D981" s="326">
        <v>0</v>
      </c>
      <c r="E981" s="326">
        <v>0</v>
      </c>
      <c r="F981" s="326">
        <v>0</v>
      </c>
      <c r="G981" s="330" t="s">
        <v>3152</v>
      </c>
      <c r="H981" s="330" t="s">
        <v>1420</v>
      </c>
      <c r="I981" s="327" t="s">
        <v>1421</v>
      </c>
      <c r="J981" s="327"/>
      <c r="K981" s="336">
        <f t="shared" si="30"/>
        <v>0</v>
      </c>
      <c r="L981" s="336">
        <v>0</v>
      </c>
      <c r="M981" s="336"/>
      <c r="N981" s="336">
        <f t="shared" si="31"/>
        <v>0</v>
      </c>
      <c r="O981" s="336">
        <v>0</v>
      </c>
      <c r="P981" s="336"/>
    </row>
    <row r="982" spans="1:16">
      <c r="A982" s="403">
        <v>390</v>
      </c>
      <c r="B982" s="404">
        <v>0</v>
      </c>
      <c r="C982" s="404">
        <v>0</v>
      </c>
      <c r="D982" s="404">
        <v>0</v>
      </c>
      <c r="E982" s="404">
        <v>0</v>
      </c>
      <c r="F982" s="404">
        <v>0</v>
      </c>
      <c r="G982" s="339">
        <v>390</v>
      </c>
      <c r="H982" s="339" t="s">
        <v>101</v>
      </c>
      <c r="I982" s="55" t="s">
        <v>1422</v>
      </c>
      <c r="J982" s="55"/>
      <c r="K982" s="335">
        <f t="shared" si="30"/>
        <v>0</v>
      </c>
      <c r="L982" s="335">
        <v>0</v>
      </c>
      <c r="M982" s="335"/>
      <c r="N982" s="335">
        <f t="shared" si="31"/>
        <v>0</v>
      </c>
      <c r="O982" s="335">
        <v>0</v>
      </c>
      <c r="P982" s="335"/>
    </row>
    <row r="983" spans="1:16">
      <c r="A983" s="179">
        <v>390</v>
      </c>
      <c r="B983" s="178">
        <v>100</v>
      </c>
      <c r="C983" s="178">
        <v>0</v>
      </c>
      <c r="D983" s="178">
        <v>0</v>
      </c>
      <c r="E983" s="178">
        <v>0</v>
      </c>
      <c r="F983" s="178">
        <v>0</v>
      </c>
      <c r="G983" s="330" t="s">
        <v>3153</v>
      </c>
      <c r="H983" s="330" t="s">
        <v>1423</v>
      </c>
      <c r="I983" s="178" t="s">
        <v>1424</v>
      </c>
      <c r="J983" s="178"/>
      <c r="K983" s="334">
        <f t="shared" si="30"/>
        <v>6741.52</v>
      </c>
      <c r="L983" s="334">
        <v>6741.52</v>
      </c>
      <c r="M983" s="334"/>
      <c r="N983" s="334">
        <f t="shared" si="31"/>
        <v>2359.48</v>
      </c>
      <c r="O983" s="334">
        <v>2359.48</v>
      </c>
      <c r="P983" s="334"/>
    </row>
    <row r="984" spans="1:16">
      <c r="A984" s="179">
        <v>390</v>
      </c>
      <c r="B984" s="178">
        <v>200</v>
      </c>
      <c r="C984" s="178">
        <v>0</v>
      </c>
      <c r="D984" s="178">
        <v>0</v>
      </c>
      <c r="E984" s="178">
        <v>0</v>
      </c>
      <c r="F984" s="178">
        <v>0</v>
      </c>
      <c r="G984" s="331" t="s">
        <v>3154</v>
      </c>
      <c r="H984" s="331" t="s">
        <v>1425</v>
      </c>
      <c r="I984" s="178" t="s">
        <v>1426</v>
      </c>
      <c r="J984" s="350"/>
      <c r="K984" s="335">
        <f t="shared" si="30"/>
        <v>0</v>
      </c>
      <c r="L984" s="335">
        <v>0</v>
      </c>
      <c r="M984" s="335"/>
      <c r="N984" s="335">
        <f t="shared" si="31"/>
        <v>0</v>
      </c>
      <c r="O984" s="335">
        <v>0</v>
      </c>
      <c r="P984" s="335"/>
    </row>
    <row r="985" spans="1:16">
      <c r="A985" s="179">
        <v>390</v>
      </c>
      <c r="B985" s="178">
        <v>200</v>
      </c>
      <c r="C985" s="178">
        <v>100</v>
      </c>
      <c r="D985" s="178">
        <v>0</v>
      </c>
      <c r="E985" s="178">
        <v>0</v>
      </c>
      <c r="F985" s="178">
        <v>0</v>
      </c>
      <c r="G985" s="330" t="s">
        <v>3155</v>
      </c>
      <c r="H985" s="330" t="s">
        <v>1427</v>
      </c>
      <c r="I985" s="178" t="s">
        <v>1428</v>
      </c>
      <c r="J985" s="178"/>
      <c r="K985" s="334">
        <f t="shared" si="30"/>
        <v>0</v>
      </c>
      <c r="L985" s="334">
        <v>0</v>
      </c>
      <c r="M985" s="334"/>
      <c r="N985" s="334">
        <f t="shared" si="31"/>
        <v>0</v>
      </c>
      <c r="O985" s="334">
        <v>0</v>
      </c>
      <c r="P985" s="334"/>
    </row>
    <row r="986" spans="1:16">
      <c r="A986" s="179">
        <v>390</v>
      </c>
      <c r="B986" s="178">
        <v>200</v>
      </c>
      <c r="C986" s="178">
        <v>200</v>
      </c>
      <c r="D986" s="178">
        <v>0</v>
      </c>
      <c r="E986" s="178">
        <v>0</v>
      </c>
      <c r="F986" s="178">
        <v>0</v>
      </c>
      <c r="G986" s="330" t="s">
        <v>3156</v>
      </c>
      <c r="H986" s="330" t="s">
        <v>1429</v>
      </c>
      <c r="I986" s="178" t="s">
        <v>1430</v>
      </c>
      <c r="J986" s="178"/>
      <c r="K986" s="334">
        <f t="shared" si="30"/>
        <v>0</v>
      </c>
      <c r="L986" s="334">
        <v>0</v>
      </c>
      <c r="M986" s="334"/>
      <c r="N986" s="334">
        <f t="shared" si="31"/>
        <v>0</v>
      </c>
      <c r="O986" s="334">
        <v>0</v>
      </c>
      <c r="P986" s="334"/>
    </row>
    <row r="987" spans="1:16">
      <c r="A987" s="179">
        <v>390</v>
      </c>
      <c r="B987" s="178">
        <v>200</v>
      </c>
      <c r="C987" s="178">
        <v>300</v>
      </c>
      <c r="D987" s="178">
        <v>0</v>
      </c>
      <c r="E987" s="178">
        <v>0</v>
      </c>
      <c r="F987" s="178">
        <v>0</v>
      </c>
      <c r="G987" s="331" t="s">
        <v>3157</v>
      </c>
      <c r="H987" s="331" t="s">
        <v>1431</v>
      </c>
      <c r="I987" s="178" t="s">
        <v>1432</v>
      </c>
      <c r="J987" s="350"/>
      <c r="K987" s="335">
        <f t="shared" si="30"/>
        <v>0</v>
      </c>
      <c r="L987" s="335">
        <v>0</v>
      </c>
      <c r="M987" s="335"/>
      <c r="N987" s="335">
        <f t="shared" si="31"/>
        <v>0</v>
      </c>
      <c r="O987" s="335">
        <v>0</v>
      </c>
      <c r="P987" s="335"/>
    </row>
    <row r="988" spans="1:16" ht="25.5">
      <c r="A988" s="179">
        <v>390</v>
      </c>
      <c r="B988" s="178">
        <v>200</v>
      </c>
      <c r="C988" s="178">
        <v>300</v>
      </c>
      <c r="D988" s="178">
        <v>100</v>
      </c>
      <c r="E988" s="178">
        <v>0</v>
      </c>
      <c r="F988" s="178">
        <v>0</v>
      </c>
      <c r="G988" s="331" t="s">
        <v>3158</v>
      </c>
      <c r="H988" s="331" t="s">
        <v>1433</v>
      </c>
      <c r="I988" s="178" t="s">
        <v>1434</v>
      </c>
      <c r="J988" s="350" t="s">
        <v>1529</v>
      </c>
      <c r="K988" s="335">
        <f t="shared" si="30"/>
        <v>0</v>
      </c>
      <c r="L988" s="335">
        <v>0</v>
      </c>
      <c r="M988" s="335"/>
      <c r="N988" s="335">
        <f t="shared" si="31"/>
        <v>0</v>
      </c>
      <c r="O988" s="335">
        <v>0</v>
      </c>
      <c r="P988" s="335"/>
    </row>
    <row r="989" spans="1:16" ht="25.5">
      <c r="A989" s="179">
        <v>390</v>
      </c>
      <c r="B989" s="178">
        <v>200</v>
      </c>
      <c r="C989" s="178">
        <v>300</v>
      </c>
      <c r="D989" s="178">
        <v>100</v>
      </c>
      <c r="E989" s="178">
        <v>10</v>
      </c>
      <c r="F989" s="178">
        <v>0</v>
      </c>
      <c r="G989" s="330" t="s">
        <v>3159</v>
      </c>
      <c r="H989" s="330" t="s">
        <v>1435</v>
      </c>
      <c r="I989" s="178" t="s">
        <v>1436</v>
      </c>
      <c r="J989" s="178" t="s">
        <v>1529</v>
      </c>
      <c r="K989" s="334">
        <f t="shared" si="30"/>
        <v>0</v>
      </c>
      <c r="L989" s="334">
        <v>0</v>
      </c>
      <c r="M989" s="334"/>
      <c r="N989" s="334">
        <f t="shared" si="31"/>
        <v>0</v>
      </c>
      <c r="O989" s="334">
        <v>0</v>
      </c>
      <c r="P989" s="334"/>
    </row>
    <row r="990" spans="1:16" ht="25.5">
      <c r="A990" s="179">
        <v>390</v>
      </c>
      <c r="B990" s="178">
        <v>200</v>
      </c>
      <c r="C990" s="178">
        <v>300</v>
      </c>
      <c r="D990" s="178">
        <v>100</v>
      </c>
      <c r="E990" s="178">
        <v>20</v>
      </c>
      <c r="F990" s="178">
        <v>0</v>
      </c>
      <c r="G990" s="330" t="s">
        <v>3160</v>
      </c>
      <c r="H990" s="330" t="s">
        <v>1437</v>
      </c>
      <c r="I990" s="178" t="s">
        <v>1438</v>
      </c>
      <c r="J990" s="178" t="s">
        <v>1529</v>
      </c>
      <c r="K990" s="334">
        <f t="shared" si="30"/>
        <v>78846.48</v>
      </c>
      <c r="L990" s="334">
        <v>78846.48</v>
      </c>
      <c r="M990" s="334"/>
      <c r="N990" s="334">
        <f t="shared" si="31"/>
        <v>40638.69</v>
      </c>
      <c r="O990" s="334">
        <v>40638.69</v>
      </c>
      <c r="P990" s="334"/>
    </row>
    <row r="991" spans="1:16">
      <c r="A991" s="179">
        <v>390</v>
      </c>
      <c r="B991" s="178">
        <v>200</v>
      </c>
      <c r="C991" s="178">
        <v>300</v>
      </c>
      <c r="D991" s="178">
        <v>200</v>
      </c>
      <c r="E991" s="178">
        <v>0</v>
      </c>
      <c r="F991" s="178">
        <v>0</v>
      </c>
      <c r="G991" s="331" t="s">
        <v>3161</v>
      </c>
      <c r="H991" s="331" t="s">
        <v>1439</v>
      </c>
      <c r="I991" s="178" t="s">
        <v>1440</v>
      </c>
      <c r="J991" s="350"/>
      <c r="K991" s="335">
        <f t="shared" si="30"/>
        <v>0</v>
      </c>
      <c r="L991" s="335">
        <v>0</v>
      </c>
      <c r="M991" s="335"/>
      <c r="N991" s="335">
        <f t="shared" si="31"/>
        <v>0</v>
      </c>
      <c r="O991" s="335">
        <v>0</v>
      </c>
      <c r="P991" s="335"/>
    </row>
    <row r="992" spans="1:16" ht="25.5">
      <c r="A992" s="179">
        <v>390</v>
      </c>
      <c r="B992" s="178">
        <v>200</v>
      </c>
      <c r="C992" s="178">
        <v>300</v>
      </c>
      <c r="D992" s="178">
        <v>200</v>
      </c>
      <c r="E992" s="178">
        <v>10</v>
      </c>
      <c r="F992" s="178">
        <v>0</v>
      </c>
      <c r="G992" s="330" t="s">
        <v>3162</v>
      </c>
      <c r="H992" s="330" t="s">
        <v>1441</v>
      </c>
      <c r="I992" s="178" t="s">
        <v>1442</v>
      </c>
      <c r="J992" s="178" t="s">
        <v>1574</v>
      </c>
      <c r="K992" s="334">
        <f t="shared" si="30"/>
        <v>0</v>
      </c>
      <c r="L992" s="334">
        <v>0</v>
      </c>
      <c r="M992" s="334"/>
      <c r="N992" s="334">
        <f t="shared" si="31"/>
        <v>0</v>
      </c>
      <c r="O992" s="334">
        <v>0</v>
      </c>
      <c r="P992" s="334"/>
    </row>
    <row r="993" spans="1:16">
      <c r="A993" s="179">
        <v>390</v>
      </c>
      <c r="B993" s="178">
        <v>200</v>
      </c>
      <c r="C993" s="178">
        <v>300</v>
      </c>
      <c r="D993" s="178">
        <v>200</v>
      </c>
      <c r="E993" s="178">
        <v>20</v>
      </c>
      <c r="F993" s="178">
        <v>0</v>
      </c>
      <c r="G993" s="331" t="s">
        <v>3163</v>
      </c>
      <c r="H993" s="331" t="s">
        <v>1443</v>
      </c>
      <c r="I993" s="178" t="s">
        <v>1444</v>
      </c>
      <c r="J993" s="350"/>
      <c r="K993" s="335">
        <f t="shared" si="30"/>
        <v>0</v>
      </c>
      <c r="L993" s="335">
        <v>0</v>
      </c>
      <c r="M993" s="335"/>
      <c r="N993" s="335">
        <f t="shared" si="31"/>
        <v>0</v>
      </c>
      <c r="O993" s="335">
        <v>0</v>
      </c>
      <c r="P993" s="335"/>
    </row>
    <row r="994" spans="1:16" ht="25.5">
      <c r="A994" s="179">
        <v>390</v>
      </c>
      <c r="B994" s="178">
        <v>200</v>
      </c>
      <c r="C994" s="178">
        <v>300</v>
      </c>
      <c r="D994" s="178">
        <v>200</v>
      </c>
      <c r="E994" s="178">
        <v>20</v>
      </c>
      <c r="F994" s="178">
        <v>5</v>
      </c>
      <c r="G994" s="330" t="s">
        <v>3164</v>
      </c>
      <c r="H994" s="330" t="s">
        <v>1445</v>
      </c>
      <c r="I994" s="178" t="s">
        <v>1446</v>
      </c>
      <c r="J994" s="178"/>
      <c r="K994" s="334">
        <f t="shared" si="30"/>
        <v>238901.72</v>
      </c>
      <c r="L994" s="334">
        <v>238901.72</v>
      </c>
      <c r="M994" s="334"/>
      <c r="N994" s="334">
        <f t="shared" si="31"/>
        <v>224830.35</v>
      </c>
      <c r="O994" s="334">
        <v>224830.35</v>
      </c>
      <c r="P994" s="334"/>
    </row>
    <row r="995" spans="1:16" ht="25.5">
      <c r="A995" s="179">
        <v>390</v>
      </c>
      <c r="B995" s="178">
        <v>200</v>
      </c>
      <c r="C995" s="178">
        <v>300</v>
      </c>
      <c r="D995" s="178">
        <v>200</v>
      </c>
      <c r="E995" s="178">
        <v>20</v>
      </c>
      <c r="F995" s="178">
        <v>10</v>
      </c>
      <c r="G995" s="330" t="s">
        <v>3165</v>
      </c>
      <c r="H995" s="330" t="s">
        <v>1447</v>
      </c>
      <c r="I995" s="178" t="s">
        <v>1448</v>
      </c>
      <c r="J995" s="178"/>
      <c r="K995" s="334">
        <f t="shared" si="30"/>
        <v>9970.24</v>
      </c>
      <c r="L995" s="334">
        <v>9970.24</v>
      </c>
      <c r="M995" s="334"/>
      <c r="N995" s="334">
        <f t="shared" si="31"/>
        <v>0</v>
      </c>
      <c r="O995" s="334">
        <v>0</v>
      </c>
      <c r="P995" s="334"/>
    </row>
    <row r="996" spans="1:16" ht="25.5">
      <c r="A996" s="179">
        <v>390</v>
      </c>
      <c r="B996" s="178">
        <v>200</v>
      </c>
      <c r="C996" s="178">
        <v>300</v>
      </c>
      <c r="D996" s="178">
        <v>200</v>
      </c>
      <c r="E996" s="178">
        <v>20</v>
      </c>
      <c r="F996" s="178">
        <v>15</v>
      </c>
      <c r="G996" s="330" t="s">
        <v>3166</v>
      </c>
      <c r="H996" s="330" t="s">
        <v>1449</v>
      </c>
      <c r="I996" s="178" t="s">
        <v>1450</v>
      </c>
      <c r="J996" s="178"/>
      <c r="K996" s="334">
        <f t="shared" si="30"/>
        <v>189958.63</v>
      </c>
      <c r="L996" s="334">
        <v>189958.63</v>
      </c>
      <c r="M996" s="334"/>
      <c r="N996" s="334">
        <f t="shared" si="31"/>
        <v>379143.05</v>
      </c>
      <c r="O996" s="334">
        <v>379143.05</v>
      </c>
      <c r="P996" s="334"/>
    </row>
    <row r="997" spans="1:16" ht="25.5">
      <c r="A997" s="179">
        <v>390</v>
      </c>
      <c r="B997" s="178">
        <v>200</v>
      </c>
      <c r="C997" s="178">
        <v>300</v>
      </c>
      <c r="D997" s="178">
        <v>200</v>
      </c>
      <c r="E997" s="178">
        <v>30</v>
      </c>
      <c r="F997" s="178">
        <v>0</v>
      </c>
      <c r="G997" s="330" t="s">
        <v>3167</v>
      </c>
      <c r="H997" s="330" t="s">
        <v>1451</v>
      </c>
      <c r="I997" s="178" t="s">
        <v>1452</v>
      </c>
      <c r="J997" s="178"/>
      <c r="K997" s="334">
        <f t="shared" si="30"/>
        <v>0</v>
      </c>
      <c r="L997" s="334">
        <v>0</v>
      </c>
      <c r="M997" s="334"/>
      <c r="N997" s="334">
        <f t="shared" si="31"/>
        <v>0</v>
      </c>
      <c r="O997" s="334">
        <v>0</v>
      </c>
      <c r="P997" s="334"/>
    </row>
    <row r="998" spans="1:16" ht="25.5">
      <c r="A998" s="179">
        <v>390</v>
      </c>
      <c r="B998" s="178">
        <v>200</v>
      </c>
      <c r="C998" s="178">
        <v>300</v>
      </c>
      <c r="D998" s="178">
        <v>200</v>
      </c>
      <c r="E998" s="178">
        <v>40</v>
      </c>
      <c r="F998" s="178">
        <v>0</v>
      </c>
      <c r="G998" s="330" t="s">
        <v>3168</v>
      </c>
      <c r="H998" s="330" t="s">
        <v>1453</v>
      </c>
      <c r="I998" s="178" t="s">
        <v>1454</v>
      </c>
      <c r="J998" s="178"/>
      <c r="K998" s="334">
        <f t="shared" si="30"/>
        <v>0</v>
      </c>
      <c r="L998" s="334">
        <v>0</v>
      </c>
      <c r="M998" s="334"/>
      <c r="N998" s="334">
        <f t="shared" si="31"/>
        <v>0</v>
      </c>
      <c r="O998" s="334">
        <v>0</v>
      </c>
      <c r="P998" s="334"/>
    </row>
    <row r="999" spans="1:16" ht="25.5">
      <c r="A999" s="179">
        <v>390</v>
      </c>
      <c r="B999" s="178">
        <v>200</v>
      </c>
      <c r="C999" s="178">
        <v>300</v>
      </c>
      <c r="D999" s="178">
        <v>200</v>
      </c>
      <c r="E999" s="178">
        <v>50</v>
      </c>
      <c r="F999" s="178">
        <v>0</v>
      </c>
      <c r="G999" s="330" t="s">
        <v>3169</v>
      </c>
      <c r="H999" s="330" t="s">
        <v>1455</v>
      </c>
      <c r="I999" s="178" t="s">
        <v>1456</v>
      </c>
      <c r="J999" s="178"/>
      <c r="K999" s="334">
        <f t="shared" si="30"/>
        <v>0</v>
      </c>
      <c r="L999" s="334">
        <v>0</v>
      </c>
      <c r="M999" s="334"/>
      <c r="N999" s="334">
        <f t="shared" si="31"/>
        <v>0</v>
      </c>
      <c r="O999" s="334">
        <v>0</v>
      </c>
      <c r="P999" s="334"/>
    </row>
    <row r="1000" spans="1:16" ht="25.5">
      <c r="A1000" s="179">
        <v>390</v>
      </c>
      <c r="B1000" s="178">
        <v>200</v>
      </c>
      <c r="C1000" s="178">
        <v>300</v>
      </c>
      <c r="D1000" s="178">
        <v>200</v>
      </c>
      <c r="E1000" s="178">
        <v>60</v>
      </c>
      <c r="F1000" s="178">
        <v>0</v>
      </c>
      <c r="G1000" s="330" t="s">
        <v>3170</v>
      </c>
      <c r="H1000" s="330" t="s">
        <v>1457</v>
      </c>
      <c r="I1000" s="178" t="s">
        <v>1458</v>
      </c>
      <c r="J1000" s="178"/>
      <c r="K1000" s="334">
        <f t="shared" si="30"/>
        <v>68818.02</v>
      </c>
      <c r="L1000" s="334">
        <v>68818.02</v>
      </c>
      <c r="M1000" s="334"/>
      <c r="N1000" s="334">
        <f t="shared" si="31"/>
        <v>63258.65</v>
      </c>
      <c r="O1000" s="334">
        <v>63258.65</v>
      </c>
      <c r="P1000" s="334"/>
    </row>
    <row r="1001" spans="1:16">
      <c r="A1001" s="179">
        <v>390</v>
      </c>
      <c r="B1001" s="178">
        <v>200</v>
      </c>
      <c r="C1001" s="178">
        <v>300</v>
      </c>
      <c r="D1001" s="178">
        <v>200</v>
      </c>
      <c r="E1001" s="178">
        <v>90</v>
      </c>
      <c r="F1001" s="178">
        <v>0</v>
      </c>
      <c r="G1001" s="330" t="s">
        <v>3171</v>
      </c>
      <c r="H1001" s="330" t="s">
        <v>1459</v>
      </c>
      <c r="I1001" s="178" t="s">
        <v>1460</v>
      </c>
      <c r="J1001" s="178"/>
      <c r="K1001" s="334">
        <f t="shared" si="30"/>
        <v>4758.59</v>
      </c>
      <c r="L1001" s="334">
        <v>4758.59</v>
      </c>
      <c r="M1001" s="334"/>
      <c r="N1001" s="334">
        <f t="shared" si="31"/>
        <v>14193.02</v>
      </c>
      <c r="O1001" s="334">
        <v>14193.02</v>
      </c>
      <c r="P1001" s="334"/>
    </row>
    <row r="1002" spans="1:16">
      <c r="A1002" s="179">
        <v>390</v>
      </c>
      <c r="B1002" s="178">
        <v>200</v>
      </c>
      <c r="C1002" s="178">
        <v>400</v>
      </c>
      <c r="D1002" s="178">
        <v>0</v>
      </c>
      <c r="E1002" s="178">
        <v>0</v>
      </c>
      <c r="F1002" s="178">
        <v>0</v>
      </c>
      <c r="G1002" s="331" t="s">
        <v>3172</v>
      </c>
      <c r="H1002" s="331" t="s">
        <v>1461</v>
      </c>
      <c r="I1002" s="178" t="s">
        <v>1462</v>
      </c>
      <c r="J1002" s="350"/>
      <c r="K1002" s="335">
        <f t="shared" si="30"/>
        <v>0</v>
      </c>
      <c r="L1002" s="335">
        <v>0</v>
      </c>
      <c r="M1002" s="335"/>
      <c r="N1002" s="335">
        <f t="shared" si="31"/>
        <v>0</v>
      </c>
      <c r="O1002" s="335">
        <v>0</v>
      </c>
      <c r="P1002" s="335"/>
    </row>
    <row r="1003" spans="1:16">
      <c r="A1003" s="179">
        <v>390</v>
      </c>
      <c r="B1003" s="178">
        <v>200</v>
      </c>
      <c r="C1003" s="178">
        <v>400</v>
      </c>
      <c r="D1003" s="178">
        <v>50</v>
      </c>
      <c r="E1003" s="178">
        <v>0</v>
      </c>
      <c r="F1003" s="178">
        <v>0</v>
      </c>
      <c r="G1003" s="330" t="s">
        <v>3173</v>
      </c>
      <c r="H1003" s="330" t="s">
        <v>1463</v>
      </c>
      <c r="I1003" s="178" t="s">
        <v>1464</v>
      </c>
      <c r="J1003" s="178"/>
      <c r="K1003" s="334">
        <f t="shared" si="30"/>
        <v>0</v>
      </c>
      <c r="L1003" s="334">
        <v>0</v>
      </c>
      <c r="M1003" s="334"/>
      <c r="N1003" s="334">
        <f t="shared" si="31"/>
        <v>0</v>
      </c>
      <c r="O1003" s="334">
        <v>0</v>
      </c>
      <c r="P1003" s="334"/>
    </row>
    <row r="1004" spans="1:16" ht="25.5">
      <c r="A1004" s="179">
        <v>390</v>
      </c>
      <c r="B1004" s="178">
        <v>200</v>
      </c>
      <c r="C1004" s="178">
        <v>400</v>
      </c>
      <c r="D1004" s="178">
        <v>100</v>
      </c>
      <c r="E1004" s="178">
        <v>0</v>
      </c>
      <c r="F1004" s="178">
        <v>0</v>
      </c>
      <c r="G1004" s="330" t="s">
        <v>3174</v>
      </c>
      <c r="H1004" s="330" t="s">
        <v>1465</v>
      </c>
      <c r="I1004" s="178" t="s">
        <v>1466</v>
      </c>
      <c r="J1004" s="178" t="s">
        <v>1529</v>
      </c>
      <c r="K1004" s="334">
        <f t="shared" si="30"/>
        <v>0</v>
      </c>
      <c r="L1004" s="334">
        <v>0</v>
      </c>
      <c r="M1004" s="334"/>
      <c r="N1004" s="334">
        <f t="shared" si="31"/>
        <v>92893.57</v>
      </c>
      <c r="O1004" s="334">
        <v>92893.57</v>
      </c>
      <c r="P1004" s="334"/>
    </row>
    <row r="1005" spans="1:16">
      <c r="A1005" s="179">
        <v>390</v>
      </c>
      <c r="B1005" s="178">
        <v>200</v>
      </c>
      <c r="C1005" s="178">
        <v>400</v>
      </c>
      <c r="D1005" s="178">
        <v>200</v>
      </c>
      <c r="E1005" s="178">
        <v>0</v>
      </c>
      <c r="F1005" s="178">
        <v>0</v>
      </c>
      <c r="G1005" s="331" t="s">
        <v>3175</v>
      </c>
      <c r="H1005" s="331" t="s">
        <v>1467</v>
      </c>
      <c r="I1005" s="178" t="s">
        <v>1468</v>
      </c>
      <c r="J1005" s="350"/>
      <c r="K1005" s="335">
        <f t="shared" si="30"/>
        <v>0</v>
      </c>
      <c r="L1005" s="335">
        <v>0</v>
      </c>
      <c r="M1005" s="335"/>
      <c r="N1005" s="335">
        <f t="shared" si="31"/>
        <v>0</v>
      </c>
      <c r="O1005" s="335">
        <v>0</v>
      </c>
      <c r="P1005" s="335"/>
    </row>
    <row r="1006" spans="1:16" ht="25.5">
      <c r="A1006" s="179">
        <v>390</v>
      </c>
      <c r="B1006" s="178">
        <v>200</v>
      </c>
      <c r="C1006" s="178">
        <v>400</v>
      </c>
      <c r="D1006" s="178">
        <v>200</v>
      </c>
      <c r="E1006" s="178">
        <v>10</v>
      </c>
      <c r="F1006" s="178">
        <v>0</v>
      </c>
      <c r="G1006" s="330" t="s">
        <v>3176</v>
      </c>
      <c r="H1006" s="330" t="s">
        <v>1469</v>
      </c>
      <c r="I1006" s="178" t="s">
        <v>1470</v>
      </c>
      <c r="J1006" s="178" t="s">
        <v>1574</v>
      </c>
      <c r="K1006" s="334">
        <f t="shared" si="30"/>
        <v>0</v>
      </c>
      <c r="L1006" s="334">
        <v>0</v>
      </c>
      <c r="M1006" s="334"/>
      <c r="N1006" s="334">
        <f t="shared" si="31"/>
        <v>0</v>
      </c>
      <c r="O1006" s="334">
        <v>0</v>
      </c>
      <c r="P1006" s="334"/>
    </row>
    <row r="1007" spans="1:16">
      <c r="A1007" s="179">
        <v>390</v>
      </c>
      <c r="B1007" s="178">
        <v>200</v>
      </c>
      <c r="C1007" s="178">
        <v>400</v>
      </c>
      <c r="D1007" s="178">
        <v>200</v>
      </c>
      <c r="E1007" s="178">
        <v>20</v>
      </c>
      <c r="F1007" s="178">
        <v>0</v>
      </c>
      <c r="G1007" s="330" t="s">
        <v>3177</v>
      </c>
      <c r="H1007" s="330" t="s">
        <v>1471</v>
      </c>
      <c r="I1007" s="178" t="s">
        <v>1472</v>
      </c>
      <c r="J1007" s="178"/>
      <c r="K1007" s="334">
        <f t="shared" si="30"/>
        <v>0</v>
      </c>
      <c r="L1007" s="334">
        <v>0</v>
      </c>
      <c r="M1007" s="334"/>
      <c r="N1007" s="334">
        <f t="shared" si="31"/>
        <v>0</v>
      </c>
      <c r="O1007" s="334">
        <v>0</v>
      </c>
      <c r="P1007" s="334"/>
    </row>
    <row r="1008" spans="1:16" ht="25.5">
      <c r="A1008" s="179">
        <v>390</v>
      </c>
      <c r="B1008" s="178">
        <v>200</v>
      </c>
      <c r="C1008" s="178">
        <v>400</v>
      </c>
      <c r="D1008" s="178">
        <v>200</v>
      </c>
      <c r="E1008" s="178">
        <v>30</v>
      </c>
      <c r="F1008" s="178">
        <v>0</v>
      </c>
      <c r="G1008" s="330" t="s">
        <v>3178</v>
      </c>
      <c r="H1008" s="330" t="s">
        <v>1473</v>
      </c>
      <c r="I1008" s="178" t="s">
        <v>1474</v>
      </c>
      <c r="J1008" s="178"/>
      <c r="K1008" s="334">
        <f t="shared" si="30"/>
        <v>0</v>
      </c>
      <c r="L1008" s="334">
        <v>0</v>
      </c>
      <c r="M1008" s="334"/>
      <c r="N1008" s="334">
        <f t="shared" si="31"/>
        <v>0</v>
      </c>
      <c r="O1008" s="334">
        <v>0</v>
      </c>
      <c r="P1008" s="334"/>
    </row>
    <row r="1009" spans="1:16" ht="25.5">
      <c r="A1009" s="179">
        <v>390</v>
      </c>
      <c r="B1009" s="178">
        <v>200</v>
      </c>
      <c r="C1009" s="178">
        <v>400</v>
      </c>
      <c r="D1009" s="178">
        <v>200</v>
      </c>
      <c r="E1009" s="178">
        <v>40</v>
      </c>
      <c r="F1009" s="178">
        <v>0</v>
      </c>
      <c r="G1009" s="330" t="s">
        <v>3179</v>
      </c>
      <c r="H1009" s="330" t="s">
        <v>1475</v>
      </c>
      <c r="I1009" s="178" t="s">
        <v>1476</v>
      </c>
      <c r="J1009" s="178"/>
      <c r="K1009" s="334">
        <f t="shared" si="30"/>
        <v>0</v>
      </c>
      <c r="L1009" s="334">
        <v>0</v>
      </c>
      <c r="M1009" s="334"/>
      <c r="N1009" s="334">
        <f t="shared" si="31"/>
        <v>0</v>
      </c>
      <c r="O1009" s="334">
        <v>0</v>
      </c>
      <c r="P1009" s="334"/>
    </row>
    <row r="1010" spans="1:16" ht="25.5">
      <c r="A1010" s="179">
        <v>390</v>
      </c>
      <c r="B1010" s="178">
        <v>200</v>
      </c>
      <c r="C1010" s="178">
        <v>400</v>
      </c>
      <c r="D1010" s="178">
        <v>200</v>
      </c>
      <c r="E1010" s="178">
        <v>50</v>
      </c>
      <c r="F1010" s="178">
        <v>0</v>
      </c>
      <c r="G1010" s="330" t="s">
        <v>3180</v>
      </c>
      <c r="H1010" s="330" t="s">
        <v>1477</v>
      </c>
      <c r="I1010" s="178" t="s">
        <v>1478</v>
      </c>
      <c r="J1010" s="178"/>
      <c r="K1010" s="334">
        <f t="shared" si="30"/>
        <v>0</v>
      </c>
      <c r="L1010" s="334">
        <v>0</v>
      </c>
      <c r="M1010" s="334"/>
      <c r="N1010" s="334">
        <f t="shared" si="31"/>
        <v>0</v>
      </c>
      <c r="O1010" s="334">
        <v>0</v>
      </c>
      <c r="P1010" s="334"/>
    </row>
    <row r="1011" spans="1:16" ht="25.5">
      <c r="A1011" s="179">
        <v>390</v>
      </c>
      <c r="B1011" s="178">
        <v>200</v>
      </c>
      <c r="C1011" s="178">
        <v>400</v>
      </c>
      <c r="D1011" s="178">
        <v>200</v>
      </c>
      <c r="E1011" s="178">
        <v>60</v>
      </c>
      <c r="F1011" s="178">
        <v>0</v>
      </c>
      <c r="G1011" s="330" t="s">
        <v>3181</v>
      </c>
      <c r="H1011" s="330" t="s">
        <v>1479</v>
      </c>
      <c r="I1011" s="178" t="s">
        <v>1480</v>
      </c>
      <c r="J1011" s="178"/>
      <c r="K1011" s="334">
        <f t="shared" si="30"/>
        <v>0</v>
      </c>
      <c r="L1011" s="334">
        <v>0</v>
      </c>
      <c r="M1011" s="334"/>
      <c r="N1011" s="334">
        <f t="shared" si="31"/>
        <v>211.23</v>
      </c>
      <c r="O1011" s="334">
        <v>211.23</v>
      </c>
      <c r="P1011" s="334"/>
    </row>
    <row r="1012" spans="1:16">
      <c r="A1012" s="179">
        <v>390</v>
      </c>
      <c r="B1012" s="178">
        <v>200</v>
      </c>
      <c r="C1012" s="178">
        <v>400</v>
      </c>
      <c r="D1012" s="178">
        <v>200</v>
      </c>
      <c r="E1012" s="178">
        <v>70</v>
      </c>
      <c r="F1012" s="178">
        <v>0</v>
      </c>
      <c r="G1012" s="330" t="s">
        <v>3182</v>
      </c>
      <c r="H1012" s="330" t="s">
        <v>1481</v>
      </c>
      <c r="I1012" s="178" t="s">
        <v>1482</v>
      </c>
      <c r="J1012" s="178"/>
      <c r="K1012" s="334">
        <f t="shared" si="30"/>
        <v>388614.92</v>
      </c>
      <c r="L1012" s="334">
        <v>388614.92</v>
      </c>
      <c r="M1012" s="334"/>
      <c r="N1012" s="334">
        <f t="shared" si="31"/>
        <v>164842.63</v>
      </c>
      <c r="O1012" s="334">
        <v>164842.63</v>
      </c>
      <c r="P1012" s="334"/>
    </row>
    <row r="1013" spans="1:16">
      <c r="A1013" s="179">
        <v>390</v>
      </c>
      <c r="B1013" s="178">
        <v>200</v>
      </c>
      <c r="C1013" s="178">
        <v>500</v>
      </c>
      <c r="D1013" s="178">
        <v>0</v>
      </c>
      <c r="E1013" s="178">
        <v>0</v>
      </c>
      <c r="F1013" s="178">
        <v>0</v>
      </c>
      <c r="G1013" s="330" t="s">
        <v>3183</v>
      </c>
      <c r="H1013" s="330" t="s">
        <v>1425</v>
      </c>
      <c r="I1013" s="178" t="s">
        <v>1483</v>
      </c>
      <c r="J1013" s="178"/>
      <c r="K1013" s="334">
        <f t="shared" si="30"/>
        <v>167.59</v>
      </c>
      <c r="L1013" s="334">
        <v>167.59</v>
      </c>
      <c r="M1013" s="334"/>
      <c r="N1013" s="334">
        <f t="shared" si="31"/>
        <v>146.18</v>
      </c>
      <c r="O1013" s="334">
        <v>146.18</v>
      </c>
      <c r="P1013" s="334"/>
    </row>
    <row r="1014" spans="1:16">
      <c r="A1014" s="403">
        <v>400</v>
      </c>
      <c r="B1014" s="404">
        <v>0</v>
      </c>
      <c r="C1014" s="404">
        <v>0</v>
      </c>
      <c r="D1014" s="404">
        <v>0</v>
      </c>
      <c r="E1014" s="404">
        <v>0</v>
      </c>
      <c r="F1014" s="404">
        <v>0</v>
      </c>
      <c r="G1014" s="339">
        <v>400</v>
      </c>
      <c r="H1014" s="339" t="s">
        <v>109</v>
      </c>
      <c r="I1014" s="55" t="s">
        <v>1484</v>
      </c>
      <c r="J1014" s="55"/>
      <c r="K1014" s="335">
        <f t="shared" si="30"/>
        <v>0</v>
      </c>
      <c r="L1014" s="335">
        <v>0</v>
      </c>
      <c r="M1014" s="335"/>
      <c r="N1014" s="335">
        <f t="shared" si="31"/>
        <v>0</v>
      </c>
      <c r="O1014" s="335">
        <v>0</v>
      </c>
      <c r="P1014" s="335"/>
    </row>
    <row r="1015" spans="1:16">
      <c r="A1015" s="179">
        <v>400</v>
      </c>
      <c r="B1015" s="178">
        <v>100</v>
      </c>
      <c r="C1015" s="178">
        <v>0</v>
      </c>
      <c r="D1015" s="178">
        <v>0</v>
      </c>
      <c r="E1015" s="178">
        <v>0</v>
      </c>
      <c r="F1015" s="178">
        <v>0</v>
      </c>
      <c r="G1015" s="330" t="s">
        <v>3184</v>
      </c>
      <c r="H1015" s="330" t="s">
        <v>1485</v>
      </c>
      <c r="I1015" s="178" t="s">
        <v>1486</v>
      </c>
      <c r="J1015" s="178"/>
      <c r="K1015" s="334">
        <f t="shared" si="30"/>
        <v>3277336.81</v>
      </c>
      <c r="L1015" s="334">
        <v>3277336.81</v>
      </c>
      <c r="M1015" s="334"/>
      <c r="N1015" s="334">
        <f t="shared" si="31"/>
        <v>3087720.78</v>
      </c>
      <c r="O1015" s="334">
        <v>3087720.78</v>
      </c>
      <c r="P1015" s="334"/>
    </row>
    <row r="1016" spans="1:16" ht="25.5">
      <c r="A1016" s="179">
        <v>400</v>
      </c>
      <c r="B1016" s="178">
        <v>200</v>
      </c>
      <c r="C1016" s="178">
        <v>0</v>
      </c>
      <c r="D1016" s="178">
        <v>0</v>
      </c>
      <c r="E1016" s="178">
        <v>0</v>
      </c>
      <c r="F1016" s="178">
        <v>0</v>
      </c>
      <c r="G1016" s="330" t="s">
        <v>3185</v>
      </c>
      <c r="H1016" s="330" t="s">
        <v>1487</v>
      </c>
      <c r="I1016" s="178" t="s">
        <v>1488</v>
      </c>
      <c r="J1016" s="178"/>
      <c r="K1016" s="334">
        <f t="shared" ref="K1016:K1022" si="32">+L1016+M1016</f>
        <v>228259.54</v>
      </c>
      <c r="L1016" s="334">
        <v>228259.54</v>
      </c>
      <c r="M1016" s="334"/>
      <c r="N1016" s="334">
        <f t="shared" si="31"/>
        <v>175770.37</v>
      </c>
      <c r="O1016" s="334">
        <v>175770.37</v>
      </c>
      <c r="P1016" s="334"/>
    </row>
    <row r="1017" spans="1:16" ht="25.5">
      <c r="A1017" s="179">
        <v>400</v>
      </c>
      <c r="B1017" s="178">
        <v>300</v>
      </c>
      <c r="C1017" s="178">
        <v>0</v>
      </c>
      <c r="D1017" s="178">
        <v>0</v>
      </c>
      <c r="E1017" s="178">
        <v>0</v>
      </c>
      <c r="F1017" s="178">
        <v>0</v>
      </c>
      <c r="G1017" s="330" t="s">
        <v>3186</v>
      </c>
      <c r="H1017" s="330" t="s">
        <v>1489</v>
      </c>
      <c r="I1017" s="178" t="s">
        <v>1490</v>
      </c>
      <c r="J1017" s="178"/>
      <c r="K1017" s="334">
        <f t="shared" si="32"/>
        <v>87662.44</v>
      </c>
      <c r="L1017" s="334">
        <v>87662.44</v>
      </c>
      <c r="M1017" s="334"/>
      <c r="N1017" s="334">
        <f t="shared" si="31"/>
        <v>73596.66</v>
      </c>
      <c r="O1017" s="334">
        <v>73596.66</v>
      </c>
      <c r="P1017" s="334"/>
    </row>
    <row r="1018" spans="1:16">
      <c r="A1018" s="179">
        <v>400</v>
      </c>
      <c r="B1018" s="178">
        <v>400</v>
      </c>
      <c r="C1018" s="178">
        <v>0</v>
      </c>
      <c r="D1018" s="178">
        <v>0</v>
      </c>
      <c r="E1018" s="178">
        <v>0</v>
      </c>
      <c r="F1018" s="178">
        <v>0</v>
      </c>
      <c r="G1018" s="330" t="s">
        <v>3187</v>
      </c>
      <c r="H1018" s="330" t="s">
        <v>1491</v>
      </c>
      <c r="I1018" s="178" t="s">
        <v>1492</v>
      </c>
      <c r="J1018" s="178"/>
      <c r="K1018" s="334">
        <f t="shared" si="32"/>
        <v>0</v>
      </c>
      <c r="L1018" s="334">
        <v>0</v>
      </c>
      <c r="M1018" s="334"/>
      <c r="N1018" s="334">
        <f t="shared" si="31"/>
        <v>0</v>
      </c>
      <c r="O1018" s="334">
        <v>0</v>
      </c>
      <c r="P1018" s="334"/>
    </row>
    <row r="1019" spans="1:16">
      <c r="A1019" s="403">
        <v>405</v>
      </c>
      <c r="B1019" s="404">
        <v>0</v>
      </c>
      <c r="C1019" s="404">
        <v>0</v>
      </c>
      <c r="D1019" s="404">
        <v>0</v>
      </c>
      <c r="E1019" s="404">
        <v>0</v>
      </c>
      <c r="F1019" s="404">
        <v>0</v>
      </c>
      <c r="G1019" s="339">
        <v>405</v>
      </c>
      <c r="H1019" s="339" t="s">
        <v>114</v>
      </c>
      <c r="I1019" s="55" t="s">
        <v>1493</v>
      </c>
      <c r="J1019" s="55"/>
      <c r="K1019" s="335">
        <f t="shared" si="32"/>
        <v>0</v>
      </c>
      <c r="L1019" s="335">
        <v>0</v>
      </c>
      <c r="M1019" s="335"/>
      <c r="N1019" s="335">
        <f t="shared" si="31"/>
        <v>0</v>
      </c>
      <c r="O1019" s="335">
        <v>0</v>
      </c>
      <c r="P1019" s="335"/>
    </row>
    <row r="1020" spans="1:16">
      <c r="A1020" s="179">
        <v>405</v>
      </c>
      <c r="B1020" s="178">
        <v>100</v>
      </c>
      <c r="C1020" s="178">
        <v>0</v>
      </c>
      <c r="D1020" s="178">
        <v>0</v>
      </c>
      <c r="E1020" s="178">
        <v>0</v>
      </c>
      <c r="F1020" s="178">
        <v>0</v>
      </c>
      <c r="G1020" s="330" t="s">
        <v>3188</v>
      </c>
      <c r="H1020" s="330" t="s">
        <v>1494</v>
      </c>
      <c r="I1020" s="178" t="s">
        <v>1495</v>
      </c>
      <c r="J1020" s="178"/>
      <c r="K1020" s="334">
        <f t="shared" si="32"/>
        <v>33590.800000000003</v>
      </c>
      <c r="L1020" s="334">
        <v>33590.800000000003</v>
      </c>
      <c r="M1020" s="334"/>
      <c r="N1020" s="334">
        <f t="shared" si="31"/>
        <v>29525</v>
      </c>
      <c r="O1020" s="334">
        <v>29525</v>
      </c>
      <c r="P1020" s="334"/>
    </row>
    <row r="1021" spans="1:16">
      <c r="A1021" s="179">
        <v>405</v>
      </c>
      <c r="B1021" s="178">
        <v>200</v>
      </c>
      <c r="C1021" s="178">
        <v>0</v>
      </c>
      <c r="D1021" s="178">
        <v>0</v>
      </c>
      <c r="E1021" s="178">
        <v>0</v>
      </c>
      <c r="F1021" s="178">
        <v>0</v>
      </c>
      <c r="G1021" s="330" t="s">
        <v>3189</v>
      </c>
      <c r="H1021" s="330" t="s">
        <v>1496</v>
      </c>
      <c r="I1021" s="178" t="s">
        <v>1497</v>
      </c>
      <c r="J1021" s="178"/>
      <c r="K1021" s="334">
        <f t="shared" si="32"/>
        <v>0</v>
      </c>
      <c r="L1021" s="334"/>
      <c r="M1021" s="334"/>
      <c r="N1021" s="334">
        <f t="shared" si="31"/>
        <v>0</v>
      </c>
      <c r="O1021" s="334"/>
      <c r="P1021" s="334"/>
    </row>
    <row r="1022" spans="1:16" ht="26.25" thickBot="1">
      <c r="A1022" s="406">
        <v>410</v>
      </c>
      <c r="B1022" s="407">
        <v>0</v>
      </c>
      <c r="C1022" s="407">
        <v>0</v>
      </c>
      <c r="D1022" s="407">
        <v>0</v>
      </c>
      <c r="E1022" s="407">
        <v>0</v>
      </c>
      <c r="F1022" s="407">
        <v>0</v>
      </c>
      <c r="G1022" s="351" t="s">
        <v>3190</v>
      </c>
      <c r="H1022" s="351" t="s">
        <v>1498</v>
      </c>
      <c r="I1022" s="329" t="s">
        <v>1499</v>
      </c>
      <c r="J1022" s="329"/>
      <c r="K1022" s="352">
        <f t="shared" si="32"/>
        <v>0</v>
      </c>
      <c r="L1022" s="352"/>
      <c r="M1022" s="352"/>
      <c r="N1022" s="352">
        <f t="shared" si="31"/>
        <v>0</v>
      </c>
      <c r="O1022" s="352"/>
      <c r="P1022" s="352"/>
    </row>
    <row r="1023" spans="1:16" ht="15">
      <c r="G1023" s="56"/>
      <c r="H1023" s="56" t="s">
        <v>533</v>
      </c>
      <c r="K1023" s="210">
        <f t="shared" ref="K1023:N1023" si="33">SUM(K6:K1022)</f>
        <v>105597976.18999997</v>
      </c>
      <c r="L1023" s="210">
        <f t="shared" si="33"/>
        <v>105597976.18999997</v>
      </c>
      <c r="M1023" s="210">
        <f t="shared" si="33"/>
        <v>0</v>
      </c>
      <c r="N1023" s="210">
        <f t="shared" si="33"/>
        <v>99880742.473636404</v>
      </c>
      <c r="O1023" s="210"/>
      <c r="P1023" s="210"/>
    </row>
    <row r="1024" spans="1:16" ht="15">
      <c r="A1024" s="53"/>
      <c r="B1024" s="53"/>
      <c r="C1024" s="53"/>
      <c r="D1024" s="53"/>
      <c r="E1024" s="53"/>
      <c r="F1024" s="53"/>
      <c r="G1024" s="56"/>
      <c r="H1024" s="56"/>
      <c r="I1024" s="57"/>
      <c r="J1024" s="57"/>
      <c r="K1024" s="210"/>
      <c r="L1024" s="210"/>
      <c r="M1024" s="210"/>
      <c r="N1024" s="210"/>
      <c r="O1024" s="210"/>
      <c r="P1024" s="210"/>
    </row>
    <row r="1025" spans="7:16" ht="15">
      <c r="G1025" s="56"/>
      <c r="H1025" s="56"/>
      <c r="K1025" s="210"/>
      <c r="L1025" s="210"/>
      <c r="M1025" s="210"/>
      <c r="N1025" s="210"/>
      <c r="O1025" s="210"/>
      <c r="P1025" s="210"/>
    </row>
    <row r="1026" spans="7:16" ht="15">
      <c r="G1026" s="56"/>
      <c r="H1026" s="56"/>
      <c r="K1026" s="210"/>
      <c r="L1026" s="210"/>
      <c r="M1026" s="210"/>
      <c r="N1026" s="210"/>
      <c r="O1026" s="210"/>
      <c r="P1026" s="210"/>
    </row>
    <row r="1027" spans="7:16" ht="15">
      <c r="G1027" s="56"/>
      <c r="H1027" s="56"/>
      <c r="K1027" s="210"/>
      <c r="L1027" s="210"/>
      <c r="M1027" s="210"/>
      <c r="N1027" s="210"/>
      <c r="O1027" s="210"/>
      <c r="P1027" s="210"/>
    </row>
    <row r="1028" spans="7:16" ht="15">
      <c r="G1028" s="56"/>
      <c r="H1028" s="56"/>
      <c r="K1028" s="210"/>
      <c r="L1028" s="210"/>
      <c r="M1028" s="210"/>
      <c r="N1028" s="210"/>
      <c r="O1028" s="210"/>
      <c r="P1028" s="210"/>
    </row>
    <row r="1029" spans="7:16" ht="15">
      <c r="G1029" s="56"/>
      <c r="H1029" s="56"/>
      <c r="K1029" s="210"/>
      <c r="L1029" s="210"/>
      <c r="M1029" s="210"/>
      <c r="N1029" s="210"/>
      <c r="O1029" s="210"/>
      <c r="P1029" s="210"/>
    </row>
    <row r="1030" spans="7:16" ht="15">
      <c r="G1030" s="56"/>
      <c r="H1030" s="56"/>
      <c r="K1030" s="210"/>
      <c r="L1030" s="210"/>
      <c r="M1030" s="210"/>
      <c r="N1030" s="210"/>
      <c r="O1030" s="210"/>
      <c r="P1030" s="210"/>
    </row>
    <row r="1031" spans="7:16" ht="15">
      <c r="G1031" s="56"/>
      <c r="H1031" s="56"/>
      <c r="K1031" s="210"/>
      <c r="L1031" s="210"/>
      <c r="M1031" s="210"/>
      <c r="N1031" s="210"/>
      <c r="O1031" s="210"/>
      <c r="P1031" s="210"/>
    </row>
    <row r="1032" spans="7:16" ht="15">
      <c r="G1032" s="56"/>
      <c r="H1032" s="56"/>
      <c r="K1032" s="210"/>
      <c r="L1032" s="210"/>
      <c r="M1032" s="210"/>
      <c r="N1032" s="210"/>
      <c r="O1032" s="210"/>
      <c r="P1032" s="210"/>
    </row>
    <row r="1033" spans="7:16" ht="15">
      <c r="G1033" s="56"/>
      <c r="H1033" s="56"/>
      <c r="K1033" s="210"/>
      <c r="L1033" s="210"/>
      <c r="M1033" s="210"/>
      <c r="N1033" s="210"/>
      <c r="O1033" s="210"/>
      <c r="P1033" s="210"/>
    </row>
    <row r="1034" spans="7:16" ht="15">
      <c r="G1034" s="56"/>
      <c r="H1034" s="56"/>
      <c r="K1034" s="210"/>
      <c r="L1034" s="210"/>
      <c r="M1034" s="210"/>
      <c r="N1034" s="210"/>
      <c r="O1034" s="210"/>
      <c r="P1034" s="210"/>
    </row>
    <row r="1035" spans="7:16" ht="15">
      <c r="G1035" s="56"/>
      <c r="H1035" s="56"/>
      <c r="K1035" s="210"/>
      <c r="L1035" s="210"/>
      <c r="M1035" s="210"/>
      <c r="N1035" s="210"/>
      <c r="O1035" s="210"/>
      <c r="P1035" s="210"/>
    </row>
    <row r="1036" spans="7:16" ht="15">
      <c r="G1036" s="56"/>
      <c r="H1036" s="56"/>
      <c r="K1036" s="210"/>
      <c r="L1036" s="210"/>
      <c r="M1036" s="210"/>
      <c r="N1036" s="210"/>
      <c r="O1036" s="210"/>
      <c r="P1036" s="210"/>
    </row>
    <row r="1037" spans="7:16" ht="15">
      <c r="G1037" s="56"/>
      <c r="H1037" s="56"/>
      <c r="K1037" s="210"/>
      <c r="L1037" s="210"/>
      <c r="M1037" s="210"/>
      <c r="N1037" s="210"/>
      <c r="O1037" s="210"/>
      <c r="P1037" s="210"/>
    </row>
    <row r="1038" spans="7:16" ht="15">
      <c r="G1038" s="56"/>
      <c r="H1038" s="56"/>
      <c r="K1038" s="210"/>
      <c r="L1038" s="210"/>
      <c r="M1038" s="210"/>
      <c r="N1038" s="210"/>
      <c r="O1038" s="210"/>
      <c r="P1038" s="210"/>
    </row>
    <row r="1039" spans="7:16" ht="15">
      <c r="G1039" s="56"/>
      <c r="H1039" s="56"/>
      <c r="K1039" s="210"/>
      <c r="L1039" s="210"/>
      <c r="M1039" s="210"/>
      <c r="N1039" s="210"/>
      <c r="O1039" s="210"/>
      <c r="P1039" s="210"/>
    </row>
    <row r="1040" spans="7:16" ht="15">
      <c r="G1040" s="56"/>
      <c r="H1040" s="56"/>
      <c r="K1040" s="210"/>
      <c r="L1040" s="210"/>
      <c r="M1040" s="210"/>
      <c r="N1040" s="210"/>
      <c r="O1040" s="210"/>
      <c r="P1040" s="210"/>
    </row>
    <row r="1041" spans="7:16" ht="15">
      <c r="G1041" s="56"/>
      <c r="H1041" s="56"/>
      <c r="K1041" s="210"/>
      <c r="L1041" s="210"/>
      <c r="M1041" s="210"/>
      <c r="N1041" s="210"/>
      <c r="O1041" s="210"/>
      <c r="P1041" s="210"/>
    </row>
    <row r="1042" spans="7:16" ht="15">
      <c r="G1042" s="56"/>
      <c r="H1042" s="56"/>
      <c r="K1042" s="210"/>
      <c r="L1042" s="210"/>
      <c r="M1042" s="210"/>
      <c r="N1042" s="210"/>
      <c r="O1042" s="210"/>
      <c r="P1042" s="210"/>
    </row>
    <row r="1043" spans="7:16" ht="15">
      <c r="G1043" s="56"/>
      <c r="H1043" s="56"/>
      <c r="K1043" s="210"/>
      <c r="L1043" s="210"/>
      <c r="M1043" s="210"/>
      <c r="N1043" s="210"/>
      <c r="O1043" s="210"/>
      <c r="P1043" s="210"/>
    </row>
    <row r="1044" spans="7:16" ht="15">
      <c r="G1044" s="56"/>
      <c r="H1044" s="56"/>
      <c r="K1044" s="210"/>
      <c r="L1044" s="210"/>
      <c r="M1044" s="210"/>
      <c r="N1044" s="210"/>
      <c r="O1044" s="210"/>
      <c r="P1044" s="210"/>
    </row>
    <row r="1045" spans="7:16" ht="15">
      <c r="G1045" s="56"/>
      <c r="H1045" s="56"/>
      <c r="K1045" s="210"/>
      <c r="L1045" s="210"/>
      <c r="M1045" s="210"/>
      <c r="N1045" s="210"/>
      <c r="O1045" s="210"/>
      <c r="P1045" s="210"/>
    </row>
    <row r="1046" spans="7:16" ht="15">
      <c r="G1046" s="56"/>
      <c r="H1046" s="56"/>
      <c r="K1046" s="210"/>
      <c r="L1046" s="210"/>
      <c r="M1046" s="210"/>
      <c r="N1046" s="210"/>
      <c r="O1046" s="210"/>
      <c r="P1046" s="210"/>
    </row>
    <row r="1047" spans="7:16" ht="15">
      <c r="G1047" s="56"/>
      <c r="H1047" s="56"/>
      <c r="K1047" s="210"/>
      <c r="L1047" s="210"/>
      <c r="M1047" s="210"/>
      <c r="N1047" s="210"/>
      <c r="O1047" s="210"/>
      <c r="P1047" s="210"/>
    </row>
    <row r="1048" spans="7:16" ht="15">
      <c r="G1048" s="56"/>
      <c r="H1048" s="56"/>
      <c r="K1048" s="210"/>
      <c r="L1048" s="210"/>
      <c r="M1048" s="210"/>
      <c r="N1048" s="210"/>
      <c r="O1048" s="210"/>
      <c r="P1048" s="210"/>
    </row>
    <row r="1049" spans="7:16" ht="15">
      <c r="G1049" s="56"/>
      <c r="H1049" s="56"/>
      <c r="K1049" s="210"/>
      <c r="L1049" s="210"/>
      <c r="M1049" s="210"/>
      <c r="N1049" s="210"/>
      <c r="O1049" s="210"/>
      <c r="P1049" s="210"/>
    </row>
    <row r="1050" spans="7:16" ht="15">
      <c r="G1050" s="56"/>
      <c r="H1050" s="56"/>
      <c r="K1050" s="210"/>
      <c r="L1050" s="210"/>
      <c r="M1050" s="210"/>
      <c r="N1050" s="210"/>
      <c r="O1050" s="210"/>
      <c r="P1050" s="210"/>
    </row>
    <row r="1051" spans="7:16" ht="15">
      <c r="G1051" s="56"/>
      <c r="H1051" s="56"/>
      <c r="K1051" s="210"/>
      <c r="L1051" s="210"/>
      <c r="M1051" s="210"/>
      <c r="N1051" s="210"/>
      <c r="O1051" s="210"/>
      <c r="P1051" s="210"/>
    </row>
    <row r="1052" spans="7:16" ht="15">
      <c r="G1052" s="56"/>
      <c r="H1052" s="56"/>
      <c r="K1052" s="210"/>
      <c r="L1052" s="210"/>
      <c r="M1052" s="210"/>
      <c r="N1052" s="210"/>
      <c r="O1052" s="210"/>
      <c r="P1052" s="210"/>
    </row>
  </sheetData>
  <autoFilter ref="A2:N1048" xr:uid="{00000000-0009-0000-0000-000002000000}"/>
  <mergeCells count="9">
    <mergeCell ref="O1:O2"/>
    <mergeCell ref="P1:P2"/>
    <mergeCell ref="M1:M2"/>
    <mergeCell ref="N1:N2"/>
    <mergeCell ref="G1:G2"/>
    <mergeCell ref="H1:H2"/>
    <mergeCell ref="I1:I2"/>
    <mergeCell ref="K1:K2"/>
    <mergeCell ref="L1:L2"/>
  </mergeCells>
  <pageMargins left="0.70866141732283472" right="0.70866141732283472" top="0.74803149606299213" bottom="0.74803149606299213" header="0.31496062992125984" footer="0.31496062992125984"/>
  <pageSetup paperSize="9" scale="54" fitToHeight="21" orientation="landscape" r:id="rId1"/>
  <rowBreaks count="20" manualBreakCount="20">
    <brk id="47" max="16383" man="1"/>
    <brk id="101" max="16383" man="1"/>
    <brk id="144" max="16383" man="1"/>
    <brk id="187" max="16383" man="1"/>
    <brk id="235" max="16383" man="1"/>
    <brk id="271" max="16383" man="1"/>
    <brk id="312" max="16383" man="1"/>
    <brk id="356" max="16383" man="1"/>
    <brk id="414" max="16383" man="1"/>
    <brk id="460" max="16383" man="1"/>
    <brk id="520" max="16383" man="1"/>
    <brk id="580" max="16383" man="1"/>
    <brk id="638" max="16383" man="1"/>
    <brk id="697" max="16383" man="1"/>
    <brk id="756" max="16383" man="1"/>
    <brk id="811" max="16383" man="1"/>
    <brk id="869" max="16383" man="1"/>
    <brk id="907" max="16383" man="1"/>
    <brk id="958" max="16383" man="1"/>
    <brk id="100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S587"/>
  <sheetViews>
    <sheetView showGridLines="0" topLeftCell="A31" zoomScale="90" zoomScaleNormal="90" zoomScaleSheetLayoutView="100" workbookViewId="0">
      <selection activeCell="I101" sqref="I101"/>
    </sheetView>
  </sheetViews>
  <sheetFormatPr defaultRowHeight="12.75"/>
  <cols>
    <col min="1" max="1" width="7.140625" style="398" bestFit="1" customWidth="1"/>
    <col min="2" max="2" width="7.42578125" style="398" bestFit="1" customWidth="1"/>
    <col min="3" max="3" width="7.85546875" style="398" bestFit="1" customWidth="1"/>
    <col min="4" max="4" width="8.42578125" style="398" bestFit="1" customWidth="1"/>
    <col min="5" max="5" width="7.5703125" style="398" bestFit="1" customWidth="1"/>
    <col min="6" max="6" width="8.42578125" style="398" bestFit="1" customWidth="1"/>
    <col min="7" max="7" width="16.42578125" style="247" bestFit="1" customWidth="1"/>
    <col min="8" max="8" width="48.42578125" customWidth="1"/>
    <col min="9" max="9" width="14.5703125" customWidth="1"/>
    <col min="10" max="10" width="11" customWidth="1"/>
    <col min="11" max="16" width="18.5703125" customWidth="1"/>
  </cols>
  <sheetData>
    <row r="1" spans="1:16" ht="30" customHeight="1" thickBot="1">
      <c r="A1" s="231" t="s">
        <v>119</v>
      </c>
      <c r="B1" s="234"/>
      <c r="C1" s="234"/>
      <c r="D1" s="234"/>
      <c r="E1" s="234"/>
      <c r="F1" s="235"/>
      <c r="G1" s="995" t="s">
        <v>3452</v>
      </c>
      <c r="H1" s="996" t="s">
        <v>120</v>
      </c>
      <c r="I1" s="995" t="s">
        <v>121</v>
      </c>
      <c r="J1" s="995" t="s">
        <v>2218</v>
      </c>
      <c r="K1" s="993" t="s">
        <v>4870</v>
      </c>
      <c r="L1" s="991" t="s">
        <v>4871</v>
      </c>
      <c r="M1" s="991" t="s">
        <v>4872</v>
      </c>
      <c r="N1" s="993" t="s">
        <v>3519</v>
      </c>
      <c r="O1" s="991" t="s">
        <v>3520</v>
      </c>
      <c r="P1" s="991" t="s">
        <v>3521</v>
      </c>
    </row>
    <row r="2" spans="1:16" ht="24" customHeight="1" thickBot="1">
      <c r="A2" s="211" t="s">
        <v>122</v>
      </c>
      <c r="B2" s="211" t="s">
        <v>123</v>
      </c>
      <c r="C2" s="211" t="s">
        <v>124</v>
      </c>
      <c r="D2" s="211" t="s">
        <v>125</v>
      </c>
      <c r="E2" s="211" t="s">
        <v>126</v>
      </c>
      <c r="F2" s="211" t="s">
        <v>127</v>
      </c>
      <c r="G2" s="995"/>
      <c r="H2" s="997"/>
      <c r="I2" s="995"/>
      <c r="J2" s="995"/>
      <c r="K2" s="994"/>
      <c r="L2" s="992"/>
      <c r="M2" s="992"/>
      <c r="N2" s="994"/>
      <c r="O2" s="992"/>
      <c r="P2" s="992"/>
    </row>
    <row r="3" spans="1:16">
      <c r="A3" s="236">
        <v>600</v>
      </c>
      <c r="B3" s="237">
        <v>0</v>
      </c>
      <c r="C3" s="237">
        <v>0</v>
      </c>
      <c r="D3" s="237">
        <v>0</v>
      </c>
      <c r="E3" s="237">
        <v>0</v>
      </c>
      <c r="F3" s="237">
        <v>0</v>
      </c>
      <c r="G3" s="358">
        <v>600</v>
      </c>
      <c r="H3" s="233" t="s">
        <v>128</v>
      </c>
      <c r="I3" s="42" t="s">
        <v>1512</v>
      </c>
      <c r="J3" s="42"/>
      <c r="K3" s="202"/>
      <c r="L3" s="202"/>
      <c r="M3" s="202"/>
      <c r="N3" s="202"/>
      <c r="O3" s="202"/>
      <c r="P3" s="202"/>
    </row>
    <row r="4" spans="1:16" ht="25.5">
      <c r="A4" s="391">
        <v>600</v>
      </c>
      <c r="B4" s="239">
        <v>100</v>
      </c>
      <c r="C4" s="239">
        <v>0</v>
      </c>
      <c r="D4" s="239">
        <v>0</v>
      </c>
      <c r="E4" s="239">
        <v>0</v>
      </c>
      <c r="F4" s="239">
        <v>0</v>
      </c>
      <c r="G4" s="359" t="s">
        <v>3193</v>
      </c>
      <c r="H4" s="43" t="s">
        <v>129</v>
      </c>
      <c r="I4" s="44" t="s">
        <v>1514</v>
      </c>
      <c r="J4" s="44"/>
      <c r="K4" s="412"/>
      <c r="L4" s="412">
        <v>0</v>
      </c>
      <c r="M4" s="412"/>
      <c r="N4" s="412"/>
      <c r="O4" s="412"/>
      <c r="P4" s="412"/>
    </row>
    <row r="5" spans="1:16" ht="25.5">
      <c r="A5" s="391">
        <v>600</v>
      </c>
      <c r="B5" s="239">
        <v>100</v>
      </c>
      <c r="C5" s="239">
        <v>100</v>
      </c>
      <c r="D5" s="239">
        <v>0</v>
      </c>
      <c r="E5" s="239">
        <v>0</v>
      </c>
      <c r="F5" s="239">
        <v>0</v>
      </c>
      <c r="G5" s="359" t="s">
        <v>3194</v>
      </c>
      <c r="H5" s="43" t="s">
        <v>130</v>
      </c>
      <c r="I5" s="44" t="s">
        <v>131</v>
      </c>
      <c r="J5" s="44"/>
      <c r="K5" s="412"/>
      <c r="L5" s="412">
        <v>0</v>
      </c>
      <c r="M5" s="412"/>
      <c r="N5" s="412"/>
      <c r="O5" s="412"/>
      <c r="P5" s="412"/>
    </row>
    <row r="6" spans="1:16">
      <c r="A6" s="391">
        <v>600</v>
      </c>
      <c r="B6" s="239">
        <v>100</v>
      </c>
      <c r="C6" s="239">
        <v>100</v>
      </c>
      <c r="D6" s="238">
        <v>100</v>
      </c>
      <c r="E6" s="238">
        <v>0</v>
      </c>
      <c r="F6" s="238">
        <v>0</v>
      </c>
      <c r="G6" s="360" t="s">
        <v>3195</v>
      </c>
      <c r="H6" s="45" t="s">
        <v>2101</v>
      </c>
      <c r="I6" s="44" t="s">
        <v>132</v>
      </c>
      <c r="J6" s="44"/>
      <c r="K6" s="203">
        <f>+L6+M6</f>
        <v>19877948.699999999</v>
      </c>
      <c r="L6" s="203">
        <v>19877948.699999999</v>
      </c>
      <c r="M6" s="203"/>
      <c r="N6" s="203">
        <f>+O6+P6</f>
        <v>17232277.010000002</v>
      </c>
      <c r="O6" s="203">
        <v>17232277.010000002</v>
      </c>
      <c r="P6" s="203"/>
    </row>
    <row r="7" spans="1:16">
      <c r="A7" s="391">
        <v>600</v>
      </c>
      <c r="B7" s="239">
        <v>100</v>
      </c>
      <c r="C7" s="239">
        <v>100</v>
      </c>
      <c r="D7" s="238">
        <v>200</v>
      </c>
      <c r="E7" s="238">
        <v>0</v>
      </c>
      <c r="F7" s="238">
        <v>0</v>
      </c>
      <c r="G7" s="360" t="s">
        <v>3196</v>
      </c>
      <c r="H7" s="45" t="s">
        <v>133</v>
      </c>
      <c r="I7" s="44" t="s">
        <v>134</v>
      </c>
      <c r="J7" s="44"/>
      <c r="K7" s="203">
        <f t="shared" ref="K7:K70" si="0">+L7+M7</f>
        <v>5762615.0800000001</v>
      </c>
      <c r="L7" s="203">
        <v>5762615.0800000001</v>
      </c>
      <c r="M7" s="203"/>
      <c r="N7" s="203">
        <f t="shared" ref="N7:N70" si="1">+O7+P7</f>
        <v>5531254.5599999996</v>
      </c>
      <c r="O7" s="203">
        <v>5531254.5599999996</v>
      </c>
      <c r="P7" s="203"/>
    </row>
    <row r="8" spans="1:16">
      <c r="A8" s="391">
        <v>600</v>
      </c>
      <c r="B8" s="239">
        <v>100</v>
      </c>
      <c r="C8" s="239">
        <v>100</v>
      </c>
      <c r="D8" s="238">
        <v>300</v>
      </c>
      <c r="E8" s="238">
        <v>0</v>
      </c>
      <c r="F8" s="238">
        <v>0</v>
      </c>
      <c r="G8" s="360" t="s">
        <v>3197</v>
      </c>
      <c r="H8" s="45" t="s">
        <v>2102</v>
      </c>
      <c r="I8" s="44" t="s">
        <v>135</v>
      </c>
      <c r="J8" s="44"/>
      <c r="K8" s="413"/>
      <c r="L8" s="413">
        <v>0</v>
      </c>
      <c r="M8" s="413"/>
      <c r="N8" s="413">
        <f t="shared" si="1"/>
        <v>0</v>
      </c>
      <c r="O8" s="413">
        <v>0</v>
      </c>
      <c r="P8" s="413"/>
    </row>
    <row r="9" spans="1:16">
      <c r="A9" s="391">
        <v>600</v>
      </c>
      <c r="B9" s="239">
        <v>100</v>
      </c>
      <c r="C9" s="239">
        <v>100</v>
      </c>
      <c r="D9" s="238">
        <v>300</v>
      </c>
      <c r="E9" s="238">
        <v>10</v>
      </c>
      <c r="F9" s="238">
        <v>0</v>
      </c>
      <c r="G9" s="360" t="s">
        <v>3198</v>
      </c>
      <c r="H9" s="45" t="s">
        <v>136</v>
      </c>
      <c r="I9" s="44" t="s">
        <v>137</v>
      </c>
      <c r="J9" s="44"/>
      <c r="K9" s="203">
        <f t="shared" si="0"/>
        <v>2328685</v>
      </c>
      <c r="L9" s="203">
        <v>2328685</v>
      </c>
      <c r="M9" s="203"/>
      <c r="N9" s="203">
        <f t="shared" si="1"/>
        <v>2328685</v>
      </c>
      <c r="O9" s="203">
        <v>2328685</v>
      </c>
      <c r="P9" s="203"/>
    </row>
    <row r="10" spans="1:16">
      <c r="A10" s="391">
        <v>600</v>
      </c>
      <c r="B10" s="239">
        <v>100</v>
      </c>
      <c r="C10" s="239">
        <v>100</v>
      </c>
      <c r="D10" s="238">
        <v>300</v>
      </c>
      <c r="E10" s="238">
        <v>20</v>
      </c>
      <c r="F10" s="238">
        <v>0</v>
      </c>
      <c r="G10" s="360" t="s">
        <v>3199</v>
      </c>
      <c r="H10" s="45" t="s">
        <v>138</v>
      </c>
      <c r="I10" s="44" t="s">
        <v>139</v>
      </c>
      <c r="J10" s="44"/>
      <c r="K10" s="203">
        <f t="shared" si="0"/>
        <v>5097265</v>
      </c>
      <c r="L10" s="203">
        <v>5097265</v>
      </c>
      <c r="M10" s="203"/>
      <c r="N10" s="203">
        <f t="shared" si="1"/>
        <v>5308179</v>
      </c>
      <c r="O10" s="203">
        <v>5308179</v>
      </c>
      <c r="P10" s="203"/>
    </row>
    <row r="11" spans="1:16" ht="25.5">
      <c r="A11" s="391">
        <v>600</v>
      </c>
      <c r="B11" s="239">
        <v>100</v>
      </c>
      <c r="C11" s="239">
        <v>100</v>
      </c>
      <c r="D11" s="238">
        <v>400</v>
      </c>
      <c r="E11" s="238">
        <v>0</v>
      </c>
      <c r="F11" s="238">
        <v>0</v>
      </c>
      <c r="G11" s="360" t="s">
        <v>3200</v>
      </c>
      <c r="H11" s="45" t="s">
        <v>140</v>
      </c>
      <c r="I11" s="44" t="s">
        <v>141</v>
      </c>
      <c r="J11" s="44"/>
      <c r="K11" s="203">
        <f t="shared" si="0"/>
        <v>0</v>
      </c>
      <c r="L11" s="203">
        <v>0</v>
      </c>
      <c r="M11" s="203"/>
      <c r="N11" s="203">
        <f t="shared" si="1"/>
        <v>0</v>
      </c>
      <c r="O11" s="203">
        <v>0</v>
      </c>
      <c r="P11" s="203"/>
    </row>
    <row r="12" spans="1:16" ht="25.5">
      <c r="A12" s="391">
        <v>600</v>
      </c>
      <c r="B12" s="239">
        <v>100</v>
      </c>
      <c r="C12" s="239">
        <v>200</v>
      </c>
      <c r="D12" s="239">
        <v>0</v>
      </c>
      <c r="E12" s="239">
        <v>0</v>
      </c>
      <c r="F12" s="239">
        <v>0</v>
      </c>
      <c r="G12" s="359" t="s">
        <v>3201</v>
      </c>
      <c r="H12" s="43" t="s">
        <v>142</v>
      </c>
      <c r="I12" s="44" t="s">
        <v>143</v>
      </c>
      <c r="J12" s="44"/>
      <c r="K12" s="413"/>
      <c r="L12" s="413">
        <v>0</v>
      </c>
      <c r="M12" s="413"/>
      <c r="N12" s="413">
        <f t="shared" si="1"/>
        <v>0</v>
      </c>
      <c r="O12" s="413">
        <v>0</v>
      </c>
      <c r="P12" s="413"/>
    </row>
    <row r="13" spans="1:16">
      <c r="A13" s="391">
        <v>600</v>
      </c>
      <c r="B13" s="239">
        <v>100</v>
      </c>
      <c r="C13" s="239">
        <v>200</v>
      </c>
      <c r="D13" s="238">
        <v>300</v>
      </c>
      <c r="E13" s="238">
        <v>0</v>
      </c>
      <c r="F13" s="238">
        <v>0</v>
      </c>
      <c r="G13" s="360" t="s">
        <v>3202</v>
      </c>
      <c r="H13" s="45" t="s">
        <v>144</v>
      </c>
      <c r="I13" s="47"/>
      <c r="J13" s="47"/>
      <c r="K13" s="203">
        <f t="shared" si="0"/>
        <v>0</v>
      </c>
      <c r="L13" s="203">
        <v>0</v>
      </c>
      <c r="M13" s="203"/>
      <c r="N13" s="203">
        <f t="shared" si="1"/>
        <v>0</v>
      </c>
      <c r="O13" s="203">
        <v>0</v>
      </c>
      <c r="P13" s="203"/>
    </row>
    <row r="14" spans="1:16">
      <c r="A14" s="391">
        <v>600</v>
      </c>
      <c r="B14" s="239">
        <v>200</v>
      </c>
      <c r="C14" s="239">
        <v>0</v>
      </c>
      <c r="D14" s="239">
        <v>0</v>
      </c>
      <c r="E14" s="239">
        <v>0</v>
      </c>
      <c r="F14" s="239">
        <v>0</v>
      </c>
      <c r="G14" s="359" t="s">
        <v>3203</v>
      </c>
      <c r="H14" s="43" t="s">
        <v>145</v>
      </c>
      <c r="I14" s="44" t="s">
        <v>146</v>
      </c>
      <c r="J14" s="44"/>
      <c r="K14" s="413"/>
      <c r="L14" s="413">
        <v>0</v>
      </c>
      <c r="M14" s="413"/>
      <c r="N14" s="413">
        <f t="shared" si="1"/>
        <v>0</v>
      </c>
      <c r="O14" s="413">
        <v>0</v>
      </c>
      <c r="P14" s="413"/>
    </row>
    <row r="15" spans="1:16">
      <c r="A15" s="391">
        <v>600</v>
      </c>
      <c r="B15" s="239">
        <v>200</v>
      </c>
      <c r="C15" s="239">
        <v>100</v>
      </c>
      <c r="D15" s="239">
        <v>0</v>
      </c>
      <c r="E15" s="239">
        <v>0</v>
      </c>
      <c r="F15" s="239">
        <v>0</v>
      </c>
      <c r="G15" s="359" t="s">
        <v>3204</v>
      </c>
      <c r="H15" s="43" t="s">
        <v>147</v>
      </c>
      <c r="I15" s="44" t="s">
        <v>148</v>
      </c>
      <c r="J15" s="44"/>
      <c r="K15" s="413"/>
      <c r="L15" s="413">
        <v>0</v>
      </c>
      <c r="M15" s="413"/>
      <c r="N15" s="413">
        <f t="shared" si="1"/>
        <v>0</v>
      </c>
      <c r="O15" s="413">
        <v>0</v>
      </c>
      <c r="P15" s="413"/>
    </row>
    <row r="16" spans="1:16">
      <c r="A16" s="391">
        <v>600</v>
      </c>
      <c r="B16" s="239">
        <v>200</v>
      </c>
      <c r="C16" s="239">
        <v>100</v>
      </c>
      <c r="D16" s="239">
        <v>100</v>
      </c>
      <c r="E16" s="239">
        <v>0</v>
      </c>
      <c r="F16" s="239">
        <v>0</v>
      </c>
      <c r="G16" s="359" t="s">
        <v>3205</v>
      </c>
      <c r="H16" s="43" t="s">
        <v>149</v>
      </c>
      <c r="I16" s="44" t="s">
        <v>150</v>
      </c>
      <c r="J16" s="44"/>
      <c r="K16" s="413"/>
      <c r="L16" s="413">
        <v>0</v>
      </c>
      <c r="M16" s="413"/>
      <c r="N16" s="413">
        <f t="shared" si="1"/>
        <v>0</v>
      </c>
      <c r="O16" s="413">
        <v>0</v>
      </c>
      <c r="P16" s="413"/>
    </row>
    <row r="17" spans="1:16">
      <c r="A17" s="391">
        <v>600</v>
      </c>
      <c r="B17" s="239">
        <v>200</v>
      </c>
      <c r="C17" s="239">
        <v>100</v>
      </c>
      <c r="D17" s="239">
        <v>100</v>
      </c>
      <c r="E17" s="238">
        <v>10</v>
      </c>
      <c r="F17" s="238">
        <v>0</v>
      </c>
      <c r="G17" s="360" t="s">
        <v>3206</v>
      </c>
      <c r="H17" s="45" t="s">
        <v>151</v>
      </c>
      <c r="I17" s="47"/>
      <c r="J17" s="47"/>
      <c r="K17" s="203">
        <f t="shared" si="0"/>
        <v>0</v>
      </c>
      <c r="L17" s="203">
        <v>0</v>
      </c>
      <c r="M17" s="203"/>
      <c r="N17" s="203">
        <f t="shared" si="1"/>
        <v>0</v>
      </c>
      <c r="O17" s="203">
        <v>0</v>
      </c>
      <c r="P17" s="203"/>
    </row>
    <row r="18" spans="1:16">
      <c r="A18" s="391">
        <v>600</v>
      </c>
      <c r="B18" s="239">
        <v>200</v>
      </c>
      <c r="C18" s="239">
        <v>100</v>
      </c>
      <c r="D18" s="239">
        <v>100</v>
      </c>
      <c r="E18" s="238">
        <v>20</v>
      </c>
      <c r="F18" s="238">
        <v>0</v>
      </c>
      <c r="G18" s="360" t="s">
        <v>3207</v>
      </c>
      <c r="H18" s="45" t="s">
        <v>152</v>
      </c>
      <c r="I18" s="47"/>
      <c r="J18" s="47"/>
      <c r="K18" s="203">
        <f t="shared" si="0"/>
        <v>0</v>
      </c>
      <c r="L18" s="203">
        <v>0</v>
      </c>
      <c r="M18" s="203"/>
      <c r="N18" s="203">
        <f t="shared" si="1"/>
        <v>0</v>
      </c>
      <c r="O18" s="203">
        <v>0</v>
      </c>
      <c r="P18" s="203"/>
    </row>
    <row r="19" spans="1:16" ht="25.5">
      <c r="A19" s="391">
        <v>600</v>
      </c>
      <c r="B19" s="239">
        <v>200</v>
      </c>
      <c r="C19" s="239">
        <v>100</v>
      </c>
      <c r="D19" s="239">
        <v>100</v>
      </c>
      <c r="E19" s="238">
        <v>30</v>
      </c>
      <c r="F19" s="238">
        <v>0</v>
      </c>
      <c r="G19" s="360" t="s">
        <v>3208</v>
      </c>
      <c r="H19" s="45" t="s">
        <v>153</v>
      </c>
      <c r="I19" s="47"/>
      <c r="J19" s="47"/>
      <c r="K19" s="203">
        <f t="shared" si="0"/>
        <v>0</v>
      </c>
      <c r="L19" s="203">
        <v>0</v>
      </c>
      <c r="M19" s="203"/>
      <c r="N19" s="203">
        <f t="shared" si="1"/>
        <v>0</v>
      </c>
      <c r="O19" s="203">
        <v>0</v>
      </c>
      <c r="P19" s="203"/>
    </row>
    <row r="20" spans="1:16" ht="25.5">
      <c r="A20" s="391">
        <v>600</v>
      </c>
      <c r="B20" s="239">
        <v>200</v>
      </c>
      <c r="C20" s="239">
        <v>100</v>
      </c>
      <c r="D20" s="239">
        <v>100</v>
      </c>
      <c r="E20" s="238">
        <v>40</v>
      </c>
      <c r="F20" s="238">
        <v>0</v>
      </c>
      <c r="G20" s="360" t="s">
        <v>3209</v>
      </c>
      <c r="H20" s="45" t="s">
        <v>154</v>
      </c>
      <c r="I20" s="47"/>
      <c r="J20" s="47"/>
      <c r="K20" s="203">
        <f t="shared" si="0"/>
        <v>0</v>
      </c>
      <c r="L20" s="203">
        <v>0</v>
      </c>
      <c r="M20" s="203"/>
      <c r="N20" s="203">
        <f t="shared" si="1"/>
        <v>0</v>
      </c>
      <c r="O20" s="203">
        <v>0</v>
      </c>
      <c r="P20" s="203"/>
    </row>
    <row r="21" spans="1:16" ht="25.5">
      <c r="A21" s="391">
        <v>600</v>
      </c>
      <c r="B21" s="239">
        <v>200</v>
      </c>
      <c r="C21" s="239">
        <v>100</v>
      </c>
      <c r="D21" s="239">
        <v>100</v>
      </c>
      <c r="E21" s="238">
        <v>80</v>
      </c>
      <c r="F21" s="238">
        <v>0</v>
      </c>
      <c r="G21" s="360" t="s">
        <v>3210</v>
      </c>
      <c r="H21" s="45" t="s">
        <v>155</v>
      </c>
      <c r="I21" s="47"/>
      <c r="J21" s="47"/>
      <c r="K21" s="203">
        <f t="shared" si="0"/>
        <v>609099</v>
      </c>
      <c r="L21" s="203">
        <v>609099</v>
      </c>
      <c r="M21" s="203"/>
      <c r="N21" s="203">
        <f t="shared" si="1"/>
        <v>265585</v>
      </c>
      <c r="O21" s="203">
        <v>265585</v>
      </c>
      <c r="P21" s="203"/>
    </row>
    <row r="22" spans="1:16" ht="25.5">
      <c r="A22" s="391">
        <v>600</v>
      </c>
      <c r="B22" s="239">
        <v>200</v>
      </c>
      <c r="C22" s="239">
        <v>100</v>
      </c>
      <c r="D22" s="239">
        <v>100</v>
      </c>
      <c r="E22" s="238">
        <v>90</v>
      </c>
      <c r="F22" s="238">
        <v>0</v>
      </c>
      <c r="G22" s="360" t="s">
        <v>3211</v>
      </c>
      <c r="H22" s="45" t="s">
        <v>156</v>
      </c>
      <c r="I22" s="47"/>
      <c r="J22" s="47"/>
      <c r="K22" s="203">
        <f t="shared" si="0"/>
        <v>0</v>
      </c>
      <c r="L22" s="203">
        <v>0</v>
      </c>
      <c r="M22" s="203"/>
      <c r="N22" s="203">
        <f t="shared" si="1"/>
        <v>0</v>
      </c>
      <c r="O22" s="203">
        <v>0</v>
      </c>
      <c r="P22" s="203"/>
    </row>
    <row r="23" spans="1:16" ht="38.25">
      <c r="A23" s="391">
        <v>600</v>
      </c>
      <c r="B23" s="239">
        <v>200</v>
      </c>
      <c r="C23" s="239">
        <v>100</v>
      </c>
      <c r="D23" s="238">
        <v>200</v>
      </c>
      <c r="E23" s="238">
        <v>0</v>
      </c>
      <c r="F23" s="238">
        <v>0</v>
      </c>
      <c r="G23" s="360" t="s">
        <v>3212</v>
      </c>
      <c r="H23" s="45" t="s">
        <v>3213</v>
      </c>
      <c r="I23" s="47" t="s">
        <v>157</v>
      </c>
      <c r="J23" s="47"/>
      <c r="K23" s="203">
        <f t="shared" si="0"/>
        <v>0</v>
      </c>
      <c r="L23" s="203">
        <v>0</v>
      </c>
      <c r="M23" s="203"/>
      <c r="N23" s="203">
        <f t="shared" si="1"/>
        <v>0</v>
      </c>
      <c r="O23" s="203">
        <v>0</v>
      </c>
      <c r="P23" s="203"/>
    </row>
    <row r="24" spans="1:16" ht="38.25">
      <c r="A24" s="391">
        <v>600</v>
      </c>
      <c r="B24" s="239">
        <v>200</v>
      </c>
      <c r="C24" s="239">
        <v>100</v>
      </c>
      <c r="D24" s="238">
        <v>300</v>
      </c>
      <c r="E24" s="238">
        <v>0</v>
      </c>
      <c r="F24" s="238">
        <v>0</v>
      </c>
      <c r="G24" s="360" t="s">
        <v>3214</v>
      </c>
      <c r="H24" s="45" t="s">
        <v>3215</v>
      </c>
      <c r="I24" s="47" t="s">
        <v>158</v>
      </c>
      <c r="J24" s="47"/>
      <c r="K24" s="203">
        <f t="shared" si="0"/>
        <v>171666.28</v>
      </c>
      <c r="L24" s="203">
        <v>171666.28</v>
      </c>
      <c r="M24" s="203"/>
      <c r="N24" s="203">
        <f t="shared" si="1"/>
        <v>430750</v>
      </c>
      <c r="O24" s="203">
        <v>430750</v>
      </c>
      <c r="P24" s="203"/>
    </row>
    <row r="25" spans="1:16" ht="25.5">
      <c r="A25" s="391">
        <v>600</v>
      </c>
      <c r="B25" s="239">
        <v>200</v>
      </c>
      <c r="C25" s="239">
        <v>100</v>
      </c>
      <c r="D25" s="239">
        <v>400</v>
      </c>
      <c r="E25" s="239">
        <v>0</v>
      </c>
      <c r="F25" s="239">
        <v>0</v>
      </c>
      <c r="G25" s="361" t="s">
        <v>3216</v>
      </c>
      <c r="H25" s="45" t="s">
        <v>159</v>
      </c>
      <c r="I25" s="44" t="s">
        <v>160</v>
      </c>
      <c r="J25" s="44"/>
      <c r="K25" s="203">
        <f t="shared" si="0"/>
        <v>359897.44</v>
      </c>
      <c r="L25" s="203">
        <v>359897.44</v>
      </c>
      <c r="M25" s="203"/>
      <c r="N25" s="203">
        <f t="shared" si="1"/>
        <v>0</v>
      </c>
      <c r="O25" s="203">
        <v>0</v>
      </c>
      <c r="P25" s="203"/>
    </row>
    <row r="26" spans="1:16" ht="25.5">
      <c r="A26" s="391">
        <v>600</v>
      </c>
      <c r="B26" s="239">
        <v>200</v>
      </c>
      <c r="C26" s="239">
        <v>200</v>
      </c>
      <c r="D26" s="239">
        <v>0</v>
      </c>
      <c r="E26" s="239">
        <v>0</v>
      </c>
      <c r="F26" s="239">
        <v>0</v>
      </c>
      <c r="G26" s="359" t="s">
        <v>3217</v>
      </c>
      <c r="H26" s="43" t="s">
        <v>161</v>
      </c>
      <c r="I26" s="44" t="s">
        <v>162</v>
      </c>
      <c r="J26" s="44"/>
      <c r="K26" s="413"/>
      <c r="L26" s="413">
        <v>0</v>
      </c>
      <c r="M26" s="413"/>
      <c r="N26" s="413">
        <f t="shared" si="1"/>
        <v>0</v>
      </c>
      <c r="O26" s="413">
        <v>0</v>
      </c>
      <c r="P26" s="413"/>
    </row>
    <row r="27" spans="1:16" ht="25.5">
      <c r="A27" s="391">
        <v>600</v>
      </c>
      <c r="B27" s="239">
        <v>200</v>
      </c>
      <c r="C27" s="239">
        <v>200</v>
      </c>
      <c r="D27" s="239">
        <v>100</v>
      </c>
      <c r="E27" s="239">
        <v>0</v>
      </c>
      <c r="F27" s="239">
        <v>0</v>
      </c>
      <c r="G27" s="361" t="s">
        <v>3218</v>
      </c>
      <c r="H27" s="45" t="s">
        <v>163</v>
      </c>
      <c r="I27" s="44" t="s">
        <v>164</v>
      </c>
      <c r="J27" s="44" t="s">
        <v>1529</v>
      </c>
      <c r="K27" s="203">
        <f t="shared" si="0"/>
        <v>516709</v>
      </c>
      <c r="L27" s="203">
        <v>516709</v>
      </c>
      <c r="M27" s="203"/>
      <c r="N27" s="203">
        <f t="shared" si="1"/>
        <v>0</v>
      </c>
      <c r="O27" s="203">
        <v>0</v>
      </c>
      <c r="P27" s="203"/>
    </row>
    <row r="28" spans="1:16" ht="25.5">
      <c r="A28" s="391">
        <v>600</v>
      </c>
      <c r="B28" s="239">
        <v>200</v>
      </c>
      <c r="C28" s="239">
        <v>200</v>
      </c>
      <c r="D28" s="239">
        <v>200</v>
      </c>
      <c r="E28" s="239">
        <v>0</v>
      </c>
      <c r="F28" s="239">
        <v>0</v>
      </c>
      <c r="G28" s="361" t="s">
        <v>3219</v>
      </c>
      <c r="H28" s="45" t="s">
        <v>165</v>
      </c>
      <c r="I28" s="44" t="s">
        <v>166</v>
      </c>
      <c r="J28" s="44" t="s">
        <v>1529</v>
      </c>
      <c r="K28" s="203">
        <f t="shared" si="0"/>
        <v>0</v>
      </c>
      <c r="L28" s="203">
        <v>0</v>
      </c>
      <c r="M28" s="203"/>
      <c r="N28" s="203">
        <f t="shared" si="1"/>
        <v>0</v>
      </c>
      <c r="O28" s="203">
        <v>0</v>
      </c>
      <c r="P28" s="203"/>
    </row>
    <row r="29" spans="1:16" ht="25.5">
      <c r="A29" s="391">
        <v>600</v>
      </c>
      <c r="B29" s="239">
        <v>200</v>
      </c>
      <c r="C29" s="239">
        <v>300</v>
      </c>
      <c r="D29" s="239">
        <v>0</v>
      </c>
      <c r="E29" s="239">
        <v>0</v>
      </c>
      <c r="F29" s="239">
        <v>0</v>
      </c>
      <c r="G29" s="359" t="s">
        <v>3220</v>
      </c>
      <c r="H29" s="43" t="s">
        <v>167</v>
      </c>
      <c r="I29" s="44" t="s">
        <v>168</v>
      </c>
      <c r="J29" s="44"/>
      <c r="K29" s="413"/>
      <c r="L29" s="413">
        <v>0</v>
      </c>
      <c r="M29" s="413"/>
      <c r="N29" s="413">
        <f t="shared" si="1"/>
        <v>0</v>
      </c>
      <c r="O29" s="413">
        <v>0</v>
      </c>
      <c r="P29" s="413"/>
    </row>
    <row r="30" spans="1:16">
      <c r="A30" s="391">
        <v>600</v>
      </c>
      <c r="B30" s="239">
        <v>200</v>
      </c>
      <c r="C30" s="239">
        <v>300</v>
      </c>
      <c r="D30" s="239">
        <v>50</v>
      </c>
      <c r="E30" s="239">
        <v>0</v>
      </c>
      <c r="F30" s="239">
        <v>0</v>
      </c>
      <c r="G30" s="359" t="s">
        <v>3221</v>
      </c>
      <c r="H30" s="45" t="s">
        <v>169</v>
      </c>
      <c r="I30" s="175" t="s">
        <v>170</v>
      </c>
      <c r="J30" s="175"/>
      <c r="K30" s="204">
        <f t="shared" si="0"/>
        <v>258364.85</v>
      </c>
      <c r="L30" s="204">
        <v>258364.85</v>
      </c>
      <c r="M30" s="204"/>
      <c r="N30" s="204">
        <f t="shared" si="1"/>
        <v>866591.59</v>
      </c>
      <c r="O30" s="204">
        <v>866591.59</v>
      </c>
      <c r="P30" s="204"/>
    </row>
    <row r="31" spans="1:16">
      <c r="A31" s="391">
        <v>600</v>
      </c>
      <c r="B31" s="239">
        <v>200</v>
      </c>
      <c r="C31" s="239">
        <v>300</v>
      </c>
      <c r="D31" s="239">
        <v>100</v>
      </c>
      <c r="E31" s="239">
        <v>0</v>
      </c>
      <c r="F31" s="239">
        <v>0</v>
      </c>
      <c r="G31" s="359" t="s">
        <v>3222</v>
      </c>
      <c r="H31" s="43" t="s">
        <v>171</v>
      </c>
      <c r="I31" s="44" t="s">
        <v>172</v>
      </c>
      <c r="J31" s="44"/>
      <c r="K31" s="413"/>
      <c r="L31" s="413">
        <v>0</v>
      </c>
      <c r="M31" s="413"/>
      <c r="N31" s="413">
        <f t="shared" si="1"/>
        <v>0</v>
      </c>
      <c r="O31" s="413">
        <v>0</v>
      </c>
      <c r="P31" s="413"/>
    </row>
    <row r="32" spans="1:16">
      <c r="A32" s="391">
        <v>600</v>
      </c>
      <c r="B32" s="239">
        <v>200</v>
      </c>
      <c r="C32" s="239">
        <v>300</v>
      </c>
      <c r="D32" s="239">
        <v>100</v>
      </c>
      <c r="E32" s="238">
        <v>10</v>
      </c>
      <c r="F32" s="238">
        <v>0</v>
      </c>
      <c r="G32" s="360" t="s">
        <v>3223</v>
      </c>
      <c r="H32" s="45" t="s">
        <v>173</v>
      </c>
      <c r="I32" s="47"/>
      <c r="J32" s="47"/>
      <c r="K32" s="203">
        <f t="shared" si="0"/>
        <v>0</v>
      </c>
      <c r="L32" s="203">
        <v>0</v>
      </c>
      <c r="M32" s="203"/>
      <c r="N32" s="203">
        <f t="shared" si="1"/>
        <v>0</v>
      </c>
      <c r="O32" s="203">
        <v>0</v>
      </c>
      <c r="P32" s="203"/>
    </row>
    <row r="33" spans="1:16">
      <c r="A33" s="391">
        <v>600</v>
      </c>
      <c r="B33" s="239">
        <v>200</v>
      </c>
      <c r="C33" s="239">
        <v>300</v>
      </c>
      <c r="D33" s="239">
        <v>100</v>
      </c>
      <c r="E33" s="238">
        <v>20</v>
      </c>
      <c r="F33" s="238">
        <v>0</v>
      </c>
      <c r="G33" s="360" t="s">
        <v>3224</v>
      </c>
      <c r="H33" s="45" t="s">
        <v>174</v>
      </c>
      <c r="I33" s="47"/>
      <c r="J33" s="47"/>
      <c r="K33" s="203">
        <f t="shared" si="0"/>
        <v>0</v>
      </c>
      <c r="L33" s="203">
        <v>0</v>
      </c>
      <c r="M33" s="203"/>
      <c r="N33" s="203">
        <f t="shared" si="1"/>
        <v>0</v>
      </c>
      <c r="O33" s="203">
        <v>0</v>
      </c>
      <c r="P33" s="203"/>
    </row>
    <row r="34" spans="1:16" ht="25.5">
      <c r="A34" s="391">
        <v>600</v>
      </c>
      <c r="B34" s="239">
        <v>200</v>
      </c>
      <c r="C34" s="239">
        <v>300</v>
      </c>
      <c r="D34" s="239">
        <v>100</v>
      </c>
      <c r="E34" s="238">
        <v>30</v>
      </c>
      <c r="F34" s="238">
        <v>0</v>
      </c>
      <c r="G34" s="360" t="s">
        <v>3225</v>
      </c>
      <c r="H34" s="45" t="s">
        <v>175</v>
      </c>
      <c r="I34" s="47"/>
      <c r="J34" s="47"/>
      <c r="K34" s="203">
        <f t="shared" si="0"/>
        <v>0</v>
      </c>
      <c r="L34" s="203">
        <v>0</v>
      </c>
      <c r="M34" s="203"/>
      <c r="N34" s="203">
        <f t="shared" si="1"/>
        <v>0</v>
      </c>
      <c r="O34" s="203">
        <v>0</v>
      </c>
      <c r="P34" s="203"/>
    </row>
    <row r="35" spans="1:16">
      <c r="A35" s="391">
        <v>600</v>
      </c>
      <c r="B35" s="239">
        <v>200</v>
      </c>
      <c r="C35" s="239">
        <v>300</v>
      </c>
      <c r="D35" s="239">
        <v>100</v>
      </c>
      <c r="E35" s="238">
        <v>40</v>
      </c>
      <c r="F35" s="238">
        <v>0</v>
      </c>
      <c r="G35" s="360" t="s">
        <v>3226</v>
      </c>
      <c r="H35" s="45" t="s">
        <v>176</v>
      </c>
      <c r="I35" s="47"/>
      <c r="J35" s="47"/>
      <c r="K35" s="203">
        <f t="shared" si="0"/>
        <v>0</v>
      </c>
      <c r="L35" s="203">
        <v>0</v>
      </c>
      <c r="M35" s="203"/>
      <c r="N35" s="203">
        <f t="shared" si="1"/>
        <v>0</v>
      </c>
      <c r="O35" s="203">
        <v>0</v>
      </c>
      <c r="P35" s="203"/>
    </row>
    <row r="36" spans="1:16" ht="25.5">
      <c r="A36" s="391">
        <v>600</v>
      </c>
      <c r="B36" s="239">
        <v>200</v>
      </c>
      <c r="C36" s="239">
        <v>300</v>
      </c>
      <c r="D36" s="239">
        <v>100</v>
      </c>
      <c r="E36" s="238">
        <v>80</v>
      </c>
      <c r="F36" s="240">
        <v>0</v>
      </c>
      <c r="G36" s="360" t="s">
        <v>3227</v>
      </c>
      <c r="H36" s="45" t="s">
        <v>177</v>
      </c>
      <c r="I36" s="47"/>
      <c r="J36" s="47"/>
      <c r="K36" s="203">
        <f t="shared" si="0"/>
        <v>54368.83</v>
      </c>
      <c r="L36" s="203">
        <v>54368.83</v>
      </c>
      <c r="M36" s="203"/>
      <c r="N36" s="203">
        <f t="shared" si="1"/>
        <v>460049.12</v>
      </c>
      <c r="O36" s="203">
        <v>460049.12</v>
      </c>
      <c r="P36" s="203"/>
    </row>
    <row r="37" spans="1:16" ht="38.25">
      <c r="A37" s="391">
        <v>600</v>
      </c>
      <c r="B37" s="239">
        <v>200</v>
      </c>
      <c r="C37" s="239">
        <v>300</v>
      </c>
      <c r="D37" s="239">
        <v>100</v>
      </c>
      <c r="E37" s="238">
        <v>90</v>
      </c>
      <c r="F37" s="238">
        <v>0</v>
      </c>
      <c r="G37" s="360" t="s">
        <v>3228</v>
      </c>
      <c r="H37" s="45" t="s">
        <v>178</v>
      </c>
      <c r="I37" s="47"/>
      <c r="J37" s="47"/>
      <c r="K37" s="203">
        <f t="shared" si="0"/>
        <v>227756.85</v>
      </c>
      <c r="L37" s="203">
        <v>227756.85</v>
      </c>
      <c r="M37" s="203"/>
      <c r="N37" s="203">
        <f t="shared" si="1"/>
        <v>17520.23</v>
      </c>
      <c r="O37" s="203">
        <v>17520.23</v>
      </c>
      <c r="P37" s="203"/>
    </row>
    <row r="38" spans="1:16" ht="25.5">
      <c r="A38" s="391">
        <v>600</v>
      </c>
      <c r="B38" s="239">
        <v>200</v>
      </c>
      <c r="C38" s="239">
        <v>300</v>
      </c>
      <c r="D38" s="239">
        <v>200</v>
      </c>
      <c r="E38" s="239">
        <v>0</v>
      </c>
      <c r="F38" s="239">
        <v>0</v>
      </c>
      <c r="G38" s="361" t="s">
        <v>3229</v>
      </c>
      <c r="H38" s="45" t="s">
        <v>179</v>
      </c>
      <c r="I38" s="44" t="s">
        <v>180</v>
      </c>
      <c r="J38" s="44"/>
      <c r="K38" s="203">
        <f t="shared" si="0"/>
        <v>0</v>
      </c>
      <c r="L38" s="203">
        <v>0</v>
      </c>
      <c r="M38" s="203"/>
      <c r="N38" s="203">
        <f t="shared" si="1"/>
        <v>0</v>
      </c>
      <c r="O38" s="203">
        <v>0</v>
      </c>
      <c r="P38" s="203"/>
    </row>
    <row r="39" spans="1:16" ht="25.5">
      <c r="A39" s="391">
        <v>600</v>
      </c>
      <c r="B39" s="239">
        <v>200</v>
      </c>
      <c r="C39" s="239">
        <v>300</v>
      </c>
      <c r="D39" s="239">
        <v>300</v>
      </c>
      <c r="E39" s="239">
        <v>0</v>
      </c>
      <c r="F39" s="239">
        <v>0</v>
      </c>
      <c r="G39" s="361" t="s">
        <v>3230</v>
      </c>
      <c r="H39" s="45" t="s">
        <v>181</v>
      </c>
      <c r="I39" s="44" t="s">
        <v>182</v>
      </c>
      <c r="J39" s="44"/>
      <c r="K39" s="203">
        <f t="shared" si="0"/>
        <v>358201.41</v>
      </c>
      <c r="L39" s="203">
        <v>358201.41</v>
      </c>
      <c r="M39" s="203"/>
      <c r="N39" s="203">
        <f t="shared" si="1"/>
        <v>0</v>
      </c>
      <c r="O39" s="203">
        <v>0</v>
      </c>
      <c r="P39" s="203"/>
    </row>
    <row r="40" spans="1:16" ht="51">
      <c r="A40" s="391">
        <v>600</v>
      </c>
      <c r="B40" s="239">
        <v>200</v>
      </c>
      <c r="C40" s="239">
        <v>300</v>
      </c>
      <c r="D40" s="239">
        <v>400</v>
      </c>
      <c r="E40" s="239">
        <v>0</v>
      </c>
      <c r="F40" s="239">
        <v>0</v>
      </c>
      <c r="G40" s="361" t="s">
        <v>3231</v>
      </c>
      <c r="H40" s="45" t="s">
        <v>183</v>
      </c>
      <c r="I40" s="44" t="s">
        <v>184</v>
      </c>
      <c r="J40" s="44"/>
      <c r="K40" s="203">
        <f t="shared" si="0"/>
        <v>0</v>
      </c>
      <c r="L40" s="203">
        <v>0</v>
      </c>
      <c r="M40" s="203"/>
      <c r="N40" s="203">
        <f t="shared" si="1"/>
        <v>0</v>
      </c>
      <c r="O40" s="203">
        <v>0</v>
      </c>
      <c r="P40" s="203"/>
    </row>
    <row r="41" spans="1:16">
      <c r="A41" s="391">
        <v>600</v>
      </c>
      <c r="B41" s="239">
        <v>300</v>
      </c>
      <c r="C41" s="239">
        <v>0</v>
      </c>
      <c r="D41" s="239">
        <v>0</v>
      </c>
      <c r="E41" s="239">
        <v>0</v>
      </c>
      <c r="F41" s="239">
        <v>0</v>
      </c>
      <c r="G41" s="359" t="s">
        <v>3232</v>
      </c>
      <c r="H41" s="43" t="s">
        <v>185</v>
      </c>
      <c r="I41" s="44" t="s">
        <v>186</v>
      </c>
      <c r="J41" s="44"/>
      <c r="K41" s="413"/>
      <c r="L41" s="413">
        <v>0</v>
      </c>
      <c r="M41" s="413"/>
      <c r="N41" s="413">
        <f t="shared" si="1"/>
        <v>0</v>
      </c>
      <c r="O41" s="413">
        <v>0</v>
      </c>
      <c r="P41" s="413"/>
    </row>
    <row r="42" spans="1:16" ht="25.5">
      <c r="A42" s="391">
        <v>600</v>
      </c>
      <c r="B42" s="239">
        <v>300</v>
      </c>
      <c r="C42" s="239">
        <v>100</v>
      </c>
      <c r="D42" s="239">
        <v>0</v>
      </c>
      <c r="E42" s="239">
        <v>0</v>
      </c>
      <c r="F42" s="239">
        <v>0</v>
      </c>
      <c r="G42" s="361" t="s">
        <v>3233</v>
      </c>
      <c r="H42" s="45" t="s">
        <v>187</v>
      </c>
      <c r="I42" s="44" t="s">
        <v>188</v>
      </c>
      <c r="J42" s="44"/>
      <c r="K42" s="203">
        <f t="shared" si="0"/>
        <v>2755277.79</v>
      </c>
      <c r="L42" s="203">
        <v>2755277.79</v>
      </c>
      <c r="M42" s="203"/>
      <c r="N42" s="203">
        <f t="shared" si="1"/>
        <v>3546081.76</v>
      </c>
      <c r="O42" s="203">
        <v>3546081.76</v>
      </c>
      <c r="P42" s="203"/>
    </row>
    <row r="43" spans="1:16" ht="25.5">
      <c r="A43" s="391">
        <v>600</v>
      </c>
      <c r="B43" s="239">
        <v>300</v>
      </c>
      <c r="C43" s="239">
        <v>200</v>
      </c>
      <c r="D43" s="239">
        <v>0</v>
      </c>
      <c r="E43" s="239">
        <v>0</v>
      </c>
      <c r="F43" s="239">
        <v>0</v>
      </c>
      <c r="G43" s="361" t="s">
        <v>3234</v>
      </c>
      <c r="H43" s="45" t="s">
        <v>189</v>
      </c>
      <c r="I43" s="44" t="s">
        <v>190</v>
      </c>
      <c r="J43" s="44"/>
      <c r="K43" s="203">
        <f t="shared" si="0"/>
        <v>2380393.89</v>
      </c>
      <c r="L43" s="203">
        <v>2380393.89</v>
      </c>
      <c r="M43" s="203"/>
      <c r="N43" s="203">
        <f t="shared" si="1"/>
        <v>1573674.45</v>
      </c>
      <c r="O43" s="203">
        <v>1573674.45</v>
      </c>
      <c r="P43" s="203"/>
    </row>
    <row r="44" spans="1:16" ht="25.5">
      <c r="A44" s="391">
        <v>600</v>
      </c>
      <c r="B44" s="239">
        <v>300</v>
      </c>
      <c r="C44" s="239">
        <v>300</v>
      </c>
      <c r="D44" s="239">
        <v>0</v>
      </c>
      <c r="E44" s="239">
        <v>0</v>
      </c>
      <c r="F44" s="239">
        <v>0</v>
      </c>
      <c r="G44" s="359" t="s">
        <v>3235</v>
      </c>
      <c r="H44" s="43" t="s">
        <v>191</v>
      </c>
      <c r="I44" s="44" t="s">
        <v>192</v>
      </c>
      <c r="J44" s="44"/>
      <c r="K44" s="205"/>
      <c r="L44" s="205">
        <v>0</v>
      </c>
      <c r="M44" s="205"/>
      <c r="N44" s="205">
        <f t="shared" si="1"/>
        <v>0</v>
      </c>
      <c r="O44" s="205">
        <v>0</v>
      </c>
      <c r="P44" s="205"/>
    </row>
    <row r="45" spans="1:16">
      <c r="A45" s="391">
        <v>600</v>
      </c>
      <c r="B45" s="239">
        <v>300</v>
      </c>
      <c r="C45" s="239">
        <v>300</v>
      </c>
      <c r="D45" s="238">
        <v>100</v>
      </c>
      <c r="E45" s="238">
        <v>0</v>
      </c>
      <c r="F45" s="238">
        <v>0</v>
      </c>
      <c r="G45" s="360" t="s">
        <v>3236</v>
      </c>
      <c r="H45" s="45" t="s">
        <v>193</v>
      </c>
      <c r="I45" s="47"/>
      <c r="J45" s="47"/>
      <c r="K45" s="203">
        <f t="shared" si="0"/>
        <v>9297000</v>
      </c>
      <c r="L45" s="203">
        <v>9297000</v>
      </c>
      <c r="M45" s="203"/>
      <c r="N45" s="203">
        <f t="shared" si="1"/>
        <v>9297000</v>
      </c>
      <c r="O45" s="203">
        <v>9297000</v>
      </c>
      <c r="P45" s="203"/>
    </row>
    <row r="46" spans="1:16">
      <c r="A46" s="391">
        <v>600</v>
      </c>
      <c r="B46" s="239">
        <v>300</v>
      </c>
      <c r="C46" s="239">
        <v>300</v>
      </c>
      <c r="D46" s="238">
        <v>900</v>
      </c>
      <c r="E46" s="238">
        <v>0</v>
      </c>
      <c r="F46" s="238">
        <v>0</v>
      </c>
      <c r="G46" s="360" t="s">
        <v>3237</v>
      </c>
      <c r="H46" s="45" t="s">
        <v>194</v>
      </c>
      <c r="I46" s="47"/>
      <c r="J46" s="47"/>
      <c r="K46" s="203">
        <f t="shared" si="0"/>
        <v>19000</v>
      </c>
      <c r="L46" s="203">
        <v>19000</v>
      </c>
      <c r="M46" s="203"/>
      <c r="N46" s="203">
        <f t="shared" si="1"/>
        <v>46898</v>
      </c>
      <c r="O46" s="203">
        <v>46898</v>
      </c>
      <c r="P46" s="203"/>
    </row>
    <row r="47" spans="1:16">
      <c r="A47" s="391">
        <v>600</v>
      </c>
      <c r="B47" s="239">
        <v>300</v>
      </c>
      <c r="C47" s="239">
        <v>400</v>
      </c>
      <c r="D47" s="239">
        <v>0</v>
      </c>
      <c r="E47" s="239">
        <v>0</v>
      </c>
      <c r="F47" s="239">
        <v>0</v>
      </c>
      <c r="G47" s="361" t="s">
        <v>3238</v>
      </c>
      <c r="H47" s="45" t="s">
        <v>195</v>
      </c>
      <c r="I47" s="44" t="s">
        <v>196</v>
      </c>
      <c r="J47" s="44"/>
      <c r="K47" s="203">
        <f t="shared" si="0"/>
        <v>2027694.03</v>
      </c>
      <c r="L47" s="203">
        <v>2027694.03</v>
      </c>
      <c r="M47" s="203"/>
      <c r="N47" s="203">
        <f t="shared" si="1"/>
        <v>1424724.12</v>
      </c>
      <c r="O47" s="203">
        <v>1424724.12</v>
      </c>
      <c r="P47" s="203"/>
    </row>
    <row r="48" spans="1:16">
      <c r="A48" s="391">
        <v>600</v>
      </c>
      <c r="B48" s="239">
        <v>400</v>
      </c>
      <c r="C48" s="239">
        <v>0</v>
      </c>
      <c r="D48" s="239">
        <v>0</v>
      </c>
      <c r="E48" s="239">
        <v>0</v>
      </c>
      <c r="F48" s="239">
        <v>0</v>
      </c>
      <c r="G48" s="361" t="s">
        <v>3239</v>
      </c>
      <c r="H48" s="45" t="s">
        <v>197</v>
      </c>
      <c r="I48" s="44" t="s">
        <v>198</v>
      </c>
      <c r="J48" s="44"/>
      <c r="K48" s="203">
        <f t="shared" si="0"/>
        <v>54376</v>
      </c>
      <c r="L48" s="203">
        <v>54376</v>
      </c>
      <c r="M48" s="203"/>
      <c r="N48" s="203">
        <f t="shared" si="1"/>
        <v>102093.1</v>
      </c>
      <c r="O48" s="203">
        <v>102093.1</v>
      </c>
      <c r="P48" s="203"/>
    </row>
    <row r="49" spans="1:16" ht="25.5">
      <c r="A49" s="236">
        <v>610</v>
      </c>
      <c r="B49" s="237">
        <v>0</v>
      </c>
      <c r="C49" s="237">
        <v>0</v>
      </c>
      <c r="D49" s="237">
        <v>0</v>
      </c>
      <c r="E49" s="237">
        <v>0</v>
      </c>
      <c r="F49" s="237">
        <v>0</v>
      </c>
      <c r="G49" s="358">
        <v>610</v>
      </c>
      <c r="H49" s="41" t="s">
        <v>199</v>
      </c>
      <c r="I49" s="42" t="s">
        <v>200</v>
      </c>
      <c r="J49" s="42"/>
      <c r="K49" s="205"/>
      <c r="L49" s="205">
        <v>0</v>
      </c>
      <c r="M49" s="205"/>
      <c r="N49" s="205">
        <f t="shared" si="1"/>
        <v>0</v>
      </c>
      <c r="O49" s="205">
        <v>0</v>
      </c>
      <c r="P49" s="205"/>
    </row>
    <row r="50" spans="1:16" ht="38.25">
      <c r="A50" s="391">
        <v>610</v>
      </c>
      <c r="B50" s="239">
        <v>100</v>
      </c>
      <c r="C50" s="239">
        <v>0</v>
      </c>
      <c r="D50" s="239">
        <v>0</v>
      </c>
      <c r="E50" s="239">
        <v>0</v>
      </c>
      <c r="F50" s="239">
        <v>0</v>
      </c>
      <c r="G50" s="361" t="s">
        <v>3240</v>
      </c>
      <c r="H50" s="45" t="s">
        <v>201</v>
      </c>
      <c r="I50" s="44" t="s">
        <v>202</v>
      </c>
      <c r="J50" s="44"/>
      <c r="K50" s="203">
        <f t="shared" si="0"/>
        <v>0</v>
      </c>
      <c r="L50" s="203">
        <v>0</v>
      </c>
      <c r="M50" s="203"/>
      <c r="N50" s="203">
        <f t="shared" si="1"/>
        <v>-50039.92</v>
      </c>
      <c r="O50" s="203">
        <v>-50039.92</v>
      </c>
      <c r="P50" s="203"/>
    </row>
    <row r="51" spans="1:16" ht="25.5">
      <c r="A51" s="391">
        <v>610</v>
      </c>
      <c r="B51" s="239">
        <v>200</v>
      </c>
      <c r="C51" s="239">
        <v>0</v>
      </c>
      <c r="D51" s="239">
        <v>0</v>
      </c>
      <c r="E51" s="239">
        <v>0</v>
      </c>
      <c r="F51" s="239">
        <v>0</v>
      </c>
      <c r="G51" s="361" t="s">
        <v>3241</v>
      </c>
      <c r="H51" s="45" t="s">
        <v>203</v>
      </c>
      <c r="I51" s="44" t="s">
        <v>204</v>
      </c>
      <c r="J51" s="44"/>
      <c r="K51" s="203">
        <f t="shared" si="0"/>
        <v>-95538.17</v>
      </c>
      <c r="L51" s="203">
        <v>-95538.17</v>
      </c>
      <c r="M51" s="203"/>
      <c r="N51" s="203">
        <f t="shared" si="1"/>
        <v>-80913.25</v>
      </c>
      <c r="O51" s="203">
        <v>-80913.25</v>
      </c>
      <c r="P51" s="203"/>
    </row>
    <row r="52" spans="1:16" ht="25.5">
      <c r="A52" s="236">
        <v>620</v>
      </c>
      <c r="B52" s="237">
        <v>0</v>
      </c>
      <c r="C52" s="237">
        <v>0</v>
      </c>
      <c r="D52" s="237">
        <v>0</v>
      </c>
      <c r="E52" s="237">
        <v>0</v>
      </c>
      <c r="F52" s="237">
        <v>0</v>
      </c>
      <c r="G52" s="358">
        <v>620</v>
      </c>
      <c r="H52" s="41" t="s">
        <v>205</v>
      </c>
      <c r="I52" s="42" t="s">
        <v>206</v>
      </c>
      <c r="J52" s="42"/>
      <c r="K52" s="205"/>
      <c r="L52" s="205">
        <v>0</v>
      </c>
      <c r="M52" s="205"/>
      <c r="N52" s="205">
        <f t="shared" si="1"/>
        <v>0</v>
      </c>
      <c r="O52" s="205">
        <v>0</v>
      </c>
      <c r="P52" s="205"/>
    </row>
    <row r="53" spans="1:16" ht="38.25">
      <c r="A53" s="391">
        <v>620</v>
      </c>
      <c r="B53" s="239">
        <v>50</v>
      </c>
      <c r="C53" s="239">
        <v>0</v>
      </c>
      <c r="D53" s="239">
        <v>0</v>
      </c>
      <c r="E53" s="239">
        <v>0</v>
      </c>
      <c r="F53" s="239">
        <v>0</v>
      </c>
      <c r="G53" s="361" t="s">
        <v>3242</v>
      </c>
      <c r="H53" s="45" t="s">
        <v>207</v>
      </c>
      <c r="I53" s="157" t="s">
        <v>208</v>
      </c>
      <c r="J53" s="157"/>
      <c r="K53" s="209">
        <f t="shared" si="0"/>
        <v>0</v>
      </c>
      <c r="L53" s="209">
        <v>0</v>
      </c>
      <c r="M53" s="209"/>
      <c r="N53" s="209">
        <f t="shared" si="1"/>
        <v>0</v>
      </c>
      <c r="O53" s="209">
        <v>0</v>
      </c>
      <c r="P53" s="209"/>
    </row>
    <row r="54" spans="1:16" ht="38.25">
      <c r="A54" s="391">
        <v>620</v>
      </c>
      <c r="B54" s="239">
        <v>100</v>
      </c>
      <c r="C54" s="239">
        <v>0</v>
      </c>
      <c r="D54" s="239">
        <v>0</v>
      </c>
      <c r="E54" s="239">
        <v>0</v>
      </c>
      <c r="F54" s="239">
        <v>0</v>
      </c>
      <c r="G54" s="361" t="s">
        <v>3243</v>
      </c>
      <c r="H54" s="45" t="s">
        <v>209</v>
      </c>
      <c r="I54" s="44" t="s">
        <v>210</v>
      </c>
      <c r="J54" s="44"/>
      <c r="K54" s="203">
        <f t="shared" si="0"/>
        <v>0</v>
      </c>
      <c r="L54" s="203">
        <v>0</v>
      </c>
      <c r="M54" s="203"/>
      <c r="N54" s="203">
        <f t="shared" si="1"/>
        <v>0</v>
      </c>
      <c r="O54" s="203">
        <v>0</v>
      </c>
      <c r="P54" s="203"/>
    </row>
    <row r="55" spans="1:16" ht="38.25">
      <c r="A55" s="391">
        <v>620</v>
      </c>
      <c r="B55" s="239">
        <v>200</v>
      </c>
      <c r="C55" s="239">
        <v>0</v>
      </c>
      <c r="D55" s="239">
        <v>0</v>
      </c>
      <c r="E55" s="239">
        <v>0</v>
      </c>
      <c r="F55" s="239">
        <v>0</v>
      </c>
      <c r="G55" s="361" t="s">
        <v>3244</v>
      </c>
      <c r="H55" s="45" t="s">
        <v>211</v>
      </c>
      <c r="I55" s="44" t="s">
        <v>212</v>
      </c>
      <c r="J55" s="44"/>
      <c r="K55" s="203">
        <f t="shared" si="0"/>
        <v>1647343.7</v>
      </c>
      <c r="L55" s="203">
        <v>1647343.7</v>
      </c>
      <c r="M55" s="203"/>
      <c r="N55" s="203">
        <f t="shared" si="1"/>
        <v>903452.14</v>
      </c>
      <c r="O55" s="203">
        <v>903452.14</v>
      </c>
      <c r="P55" s="203"/>
    </row>
    <row r="56" spans="1:16" ht="25.5">
      <c r="A56" s="391">
        <v>620</v>
      </c>
      <c r="B56" s="239">
        <v>300</v>
      </c>
      <c r="C56" s="239">
        <v>0</v>
      </c>
      <c r="D56" s="239">
        <v>0</v>
      </c>
      <c r="E56" s="239">
        <v>0</v>
      </c>
      <c r="F56" s="239">
        <v>0</v>
      </c>
      <c r="G56" s="361" t="s">
        <v>3245</v>
      </c>
      <c r="H56" s="45" t="s">
        <v>213</v>
      </c>
      <c r="I56" s="44" t="s">
        <v>214</v>
      </c>
      <c r="J56" s="44"/>
      <c r="K56" s="203">
        <f t="shared" si="0"/>
        <v>3491358.66</v>
      </c>
      <c r="L56" s="203">
        <v>3491358.66</v>
      </c>
      <c r="M56" s="203"/>
      <c r="N56" s="203">
        <f t="shared" si="1"/>
        <v>4500093.83</v>
      </c>
      <c r="O56" s="203">
        <v>4500093.83</v>
      </c>
      <c r="P56" s="203"/>
    </row>
    <row r="57" spans="1:16" ht="25.5">
      <c r="A57" s="391">
        <v>620</v>
      </c>
      <c r="B57" s="239">
        <v>400</v>
      </c>
      <c r="C57" s="239">
        <v>0</v>
      </c>
      <c r="D57" s="239">
        <v>0</v>
      </c>
      <c r="E57" s="239">
        <v>0</v>
      </c>
      <c r="F57" s="239">
        <v>0</v>
      </c>
      <c r="G57" s="361" t="s">
        <v>3246</v>
      </c>
      <c r="H57" s="45" t="s">
        <v>215</v>
      </c>
      <c r="I57" s="44" t="s">
        <v>216</v>
      </c>
      <c r="J57" s="44"/>
      <c r="K57" s="203">
        <f t="shared" si="0"/>
        <v>3567041.58</v>
      </c>
      <c r="L57" s="203">
        <v>3567041.58</v>
      </c>
      <c r="M57" s="203"/>
      <c r="N57" s="203">
        <f t="shared" si="1"/>
        <v>2537360.37</v>
      </c>
      <c r="O57" s="203">
        <v>2537360.37</v>
      </c>
      <c r="P57" s="203"/>
    </row>
    <row r="58" spans="1:16" ht="25.5">
      <c r="A58" s="236">
        <v>630</v>
      </c>
      <c r="B58" s="237">
        <v>0</v>
      </c>
      <c r="C58" s="237">
        <v>0</v>
      </c>
      <c r="D58" s="237">
        <v>0</v>
      </c>
      <c r="E58" s="237">
        <v>0</v>
      </c>
      <c r="F58" s="237">
        <v>0</v>
      </c>
      <c r="G58" s="358">
        <v>630</v>
      </c>
      <c r="H58" s="41" t="s">
        <v>22</v>
      </c>
      <c r="I58" s="42" t="s">
        <v>217</v>
      </c>
      <c r="J58" s="42"/>
      <c r="K58" s="205"/>
      <c r="L58" s="205">
        <v>0</v>
      </c>
      <c r="M58" s="205"/>
      <c r="N58" s="205">
        <f t="shared" si="1"/>
        <v>0</v>
      </c>
      <c r="O58" s="205">
        <v>0</v>
      </c>
      <c r="P58" s="205"/>
    </row>
    <row r="59" spans="1:16" ht="25.5">
      <c r="A59" s="391">
        <v>630</v>
      </c>
      <c r="B59" s="239">
        <v>100</v>
      </c>
      <c r="C59" s="239">
        <v>0</v>
      </c>
      <c r="D59" s="239">
        <v>0</v>
      </c>
      <c r="E59" s="239">
        <v>0</v>
      </c>
      <c r="F59" s="239">
        <v>0</v>
      </c>
      <c r="G59" s="359" t="s">
        <v>3247</v>
      </c>
      <c r="H59" s="43" t="s">
        <v>218</v>
      </c>
      <c r="I59" s="44" t="s">
        <v>219</v>
      </c>
      <c r="J59" s="44"/>
      <c r="K59" s="413"/>
      <c r="L59" s="413">
        <v>0</v>
      </c>
      <c r="M59" s="413"/>
      <c r="N59" s="413">
        <f t="shared" si="1"/>
        <v>0</v>
      </c>
      <c r="O59" s="413">
        <v>0</v>
      </c>
      <c r="P59" s="413"/>
    </row>
    <row r="60" spans="1:16" ht="38.25">
      <c r="A60" s="391">
        <v>630</v>
      </c>
      <c r="B60" s="239">
        <v>100</v>
      </c>
      <c r="C60" s="239">
        <v>100</v>
      </c>
      <c r="D60" s="239">
        <v>0</v>
      </c>
      <c r="E60" s="239">
        <v>0</v>
      </c>
      <c r="F60" s="239">
        <v>0</v>
      </c>
      <c r="G60" s="359" t="s">
        <v>3248</v>
      </c>
      <c r="H60" s="43" t="s">
        <v>220</v>
      </c>
      <c r="I60" s="44" t="s">
        <v>221</v>
      </c>
      <c r="J60" s="44" t="s">
        <v>1529</v>
      </c>
      <c r="K60" s="413"/>
      <c r="L60" s="413">
        <v>0</v>
      </c>
      <c r="M60" s="413"/>
      <c r="N60" s="413">
        <f t="shared" si="1"/>
        <v>0</v>
      </c>
      <c r="O60" s="413">
        <v>0</v>
      </c>
      <c r="P60" s="413"/>
    </row>
    <row r="61" spans="1:16">
      <c r="A61" s="391">
        <v>630</v>
      </c>
      <c r="B61" s="239">
        <v>100</v>
      </c>
      <c r="C61" s="239">
        <v>100</v>
      </c>
      <c r="D61" s="239">
        <v>100</v>
      </c>
      <c r="E61" s="239">
        <v>0</v>
      </c>
      <c r="F61" s="239">
        <v>0</v>
      </c>
      <c r="G61" s="359" t="s">
        <v>3249</v>
      </c>
      <c r="H61" s="43" t="s">
        <v>222</v>
      </c>
      <c r="I61" s="44" t="s">
        <v>223</v>
      </c>
      <c r="J61" s="44" t="s">
        <v>1529</v>
      </c>
      <c r="K61" s="413"/>
      <c r="L61" s="413">
        <v>0</v>
      </c>
      <c r="M61" s="413"/>
      <c r="N61" s="413">
        <f t="shared" si="1"/>
        <v>0</v>
      </c>
      <c r="O61" s="413">
        <v>0</v>
      </c>
      <c r="P61" s="413"/>
    </row>
    <row r="62" spans="1:16" ht="25.5">
      <c r="A62" s="391">
        <v>630</v>
      </c>
      <c r="B62" s="239">
        <v>100</v>
      </c>
      <c r="C62" s="239">
        <v>100</v>
      </c>
      <c r="D62" s="239">
        <v>100</v>
      </c>
      <c r="E62" s="239">
        <v>10</v>
      </c>
      <c r="F62" s="239">
        <v>0</v>
      </c>
      <c r="G62" s="359" t="s">
        <v>3250</v>
      </c>
      <c r="H62" s="45" t="s">
        <v>224</v>
      </c>
      <c r="I62" s="44"/>
      <c r="J62" s="44" t="s">
        <v>1529</v>
      </c>
      <c r="K62" s="206">
        <f t="shared" si="0"/>
        <v>19808266</v>
      </c>
      <c r="L62" s="206">
        <v>19808266</v>
      </c>
      <c r="M62" s="206"/>
      <c r="N62" s="206">
        <f t="shared" si="1"/>
        <v>18528085</v>
      </c>
      <c r="O62" s="206">
        <v>18528085</v>
      </c>
      <c r="P62" s="206"/>
    </row>
    <row r="63" spans="1:16" ht="25.5">
      <c r="A63" s="391">
        <v>630</v>
      </c>
      <c r="B63" s="239">
        <v>100</v>
      </c>
      <c r="C63" s="239">
        <v>100</v>
      </c>
      <c r="D63" s="239">
        <v>100</v>
      </c>
      <c r="E63" s="239">
        <v>20</v>
      </c>
      <c r="F63" s="239">
        <v>0</v>
      </c>
      <c r="G63" s="359" t="s">
        <v>3251</v>
      </c>
      <c r="H63" s="45" t="s">
        <v>225</v>
      </c>
      <c r="I63" s="44"/>
      <c r="J63" s="44" t="s">
        <v>1529</v>
      </c>
      <c r="K63" s="206">
        <f t="shared" si="0"/>
        <v>89231.18</v>
      </c>
      <c r="L63" s="206">
        <v>89231.18</v>
      </c>
      <c r="M63" s="206"/>
      <c r="N63" s="206">
        <f t="shared" si="1"/>
        <v>97369.13</v>
      </c>
      <c r="O63" s="206">
        <v>97369.13</v>
      </c>
      <c r="P63" s="206"/>
    </row>
    <row r="64" spans="1:16">
      <c r="A64" s="391">
        <v>630</v>
      </c>
      <c r="B64" s="239">
        <v>100</v>
      </c>
      <c r="C64" s="239">
        <v>100</v>
      </c>
      <c r="D64" s="239">
        <v>200</v>
      </c>
      <c r="E64" s="239">
        <v>0</v>
      </c>
      <c r="F64" s="239">
        <v>0</v>
      </c>
      <c r="G64" s="359" t="s">
        <v>3252</v>
      </c>
      <c r="H64" s="43" t="s">
        <v>226</v>
      </c>
      <c r="I64" s="44" t="s">
        <v>227</v>
      </c>
      <c r="J64" s="44" t="s">
        <v>1529</v>
      </c>
      <c r="K64" s="413"/>
      <c r="L64" s="413">
        <v>0</v>
      </c>
      <c r="M64" s="413"/>
      <c r="N64" s="413">
        <f t="shared" si="1"/>
        <v>0</v>
      </c>
      <c r="O64" s="413">
        <v>0</v>
      </c>
      <c r="P64" s="413"/>
    </row>
    <row r="65" spans="1:16" ht="25.5">
      <c r="A65" s="391">
        <v>630</v>
      </c>
      <c r="B65" s="239">
        <v>100</v>
      </c>
      <c r="C65" s="239">
        <v>100</v>
      </c>
      <c r="D65" s="239">
        <v>200</v>
      </c>
      <c r="E65" s="238">
        <v>10</v>
      </c>
      <c r="F65" s="238">
        <v>0</v>
      </c>
      <c r="G65" s="360" t="s">
        <v>3253</v>
      </c>
      <c r="H65" s="45" t="s">
        <v>228</v>
      </c>
      <c r="I65" s="47"/>
      <c r="J65" s="47" t="s">
        <v>1529</v>
      </c>
      <c r="K65" s="203">
        <f t="shared" si="0"/>
        <v>6938670</v>
      </c>
      <c r="L65" s="203">
        <v>6938670</v>
      </c>
      <c r="M65" s="203"/>
      <c r="N65" s="203">
        <f t="shared" si="1"/>
        <v>7082810</v>
      </c>
      <c r="O65" s="203">
        <v>7082810</v>
      </c>
      <c r="P65" s="203"/>
    </row>
    <row r="66" spans="1:16" ht="25.5">
      <c r="A66" s="391">
        <v>630</v>
      </c>
      <c r="B66" s="239">
        <v>100</v>
      </c>
      <c r="C66" s="239">
        <v>100</v>
      </c>
      <c r="D66" s="239">
        <v>200</v>
      </c>
      <c r="E66" s="238">
        <v>20</v>
      </c>
      <c r="F66" s="238">
        <v>0</v>
      </c>
      <c r="G66" s="360" t="s">
        <v>3254</v>
      </c>
      <c r="H66" s="45" t="s">
        <v>229</v>
      </c>
      <c r="I66" s="47"/>
      <c r="J66" s="47" t="s">
        <v>1529</v>
      </c>
      <c r="K66" s="203">
        <f t="shared" si="0"/>
        <v>1240873</v>
      </c>
      <c r="L66" s="203">
        <v>1240873</v>
      </c>
      <c r="M66" s="203"/>
      <c r="N66" s="203">
        <f t="shared" si="1"/>
        <v>1180362.95</v>
      </c>
      <c r="O66" s="203">
        <v>1180362.95</v>
      </c>
      <c r="P66" s="203"/>
    </row>
    <row r="67" spans="1:16">
      <c r="A67" s="391">
        <v>630</v>
      </c>
      <c r="B67" s="239">
        <v>100</v>
      </c>
      <c r="C67" s="239">
        <v>100</v>
      </c>
      <c r="D67" s="239">
        <v>250</v>
      </c>
      <c r="E67" s="239">
        <v>0</v>
      </c>
      <c r="F67" s="239">
        <v>0</v>
      </c>
      <c r="G67" s="359" t="s">
        <v>3255</v>
      </c>
      <c r="H67" s="43" t="s">
        <v>2100</v>
      </c>
      <c r="I67" s="44" t="s">
        <v>230</v>
      </c>
      <c r="J67" s="44" t="s">
        <v>1529</v>
      </c>
      <c r="K67" s="203">
        <f t="shared" si="0"/>
        <v>0</v>
      </c>
      <c r="L67" s="203">
        <v>0</v>
      </c>
      <c r="M67" s="203"/>
      <c r="N67" s="203">
        <f t="shared" si="1"/>
        <v>0</v>
      </c>
      <c r="O67" s="203">
        <v>0</v>
      </c>
      <c r="P67" s="203"/>
    </row>
    <row r="68" spans="1:16" ht="25.5">
      <c r="A68" s="391">
        <v>630</v>
      </c>
      <c r="B68" s="239">
        <v>100</v>
      </c>
      <c r="C68" s="239">
        <v>100</v>
      </c>
      <c r="D68" s="239">
        <v>300</v>
      </c>
      <c r="E68" s="239">
        <v>0</v>
      </c>
      <c r="F68" s="239">
        <v>0</v>
      </c>
      <c r="G68" s="361" t="s">
        <v>3256</v>
      </c>
      <c r="H68" s="45" t="s">
        <v>231</v>
      </c>
      <c r="I68" s="44" t="s">
        <v>232</v>
      </c>
      <c r="J68" s="44" t="s">
        <v>1529</v>
      </c>
      <c r="K68" s="203">
        <f t="shared" si="0"/>
        <v>0</v>
      </c>
      <c r="L68" s="203">
        <v>0</v>
      </c>
      <c r="M68" s="203"/>
      <c r="N68" s="203">
        <f t="shared" si="1"/>
        <v>0</v>
      </c>
      <c r="O68" s="203">
        <v>0</v>
      </c>
      <c r="P68" s="203"/>
    </row>
    <row r="69" spans="1:16">
      <c r="A69" s="391">
        <v>630</v>
      </c>
      <c r="B69" s="239">
        <v>100</v>
      </c>
      <c r="C69" s="239">
        <v>100</v>
      </c>
      <c r="D69" s="239">
        <v>400</v>
      </c>
      <c r="E69" s="239">
        <v>0</v>
      </c>
      <c r="F69" s="239">
        <v>0</v>
      </c>
      <c r="G69" s="361" t="s">
        <v>3257</v>
      </c>
      <c r="H69" s="45" t="s">
        <v>233</v>
      </c>
      <c r="I69" s="44" t="s">
        <v>234</v>
      </c>
      <c r="J69" s="44" t="s">
        <v>1529</v>
      </c>
      <c r="K69" s="203">
        <f t="shared" si="0"/>
        <v>599446</v>
      </c>
      <c r="L69" s="203">
        <v>599446</v>
      </c>
      <c r="M69" s="203"/>
      <c r="N69" s="203">
        <f t="shared" si="1"/>
        <v>627019</v>
      </c>
      <c r="O69" s="203">
        <v>627019</v>
      </c>
      <c r="P69" s="203"/>
    </row>
    <row r="70" spans="1:16" ht="25.5">
      <c r="A70" s="391">
        <v>630</v>
      </c>
      <c r="B70" s="239">
        <v>100</v>
      </c>
      <c r="C70" s="239">
        <v>100</v>
      </c>
      <c r="D70" s="239">
        <v>500</v>
      </c>
      <c r="E70" s="239">
        <v>0</v>
      </c>
      <c r="F70" s="239">
        <v>0</v>
      </c>
      <c r="G70" s="361" t="s">
        <v>3258</v>
      </c>
      <c r="H70" s="45" t="s">
        <v>235</v>
      </c>
      <c r="I70" s="44" t="s">
        <v>236</v>
      </c>
      <c r="J70" s="44" t="s">
        <v>1529</v>
      </c>
      <c r="K70" s="203">
        <f t="shared" si="0"/>
        <v>0</v>
      </c>
      <c r="L70" s="203">
        <v>0</v>
      </c>
      <c r="M70" s="203"/>
      <c r="N70" s="203">
        <f t="shared" si="1"/>
        <v>0</v>
      </c>
      <c r="O70" s="203">
        <v>0</v>
      </c>
      <c r="P70" s="203"/>
    </row>
    <row r="71" spans="1:16">
      <c r="A71" s="391">
        <v>630</v>
      </c>
      <c r="B71" s="239">
        <v>100</v>
      </c>
      <c r="C71" s="239">
        <v>100</v>
      </c>
      <c r="D71" s="239">
        <v>600</v>
      </c>
      <c r="E71" s="239">
        <v>0</v>
      </c>
      <c r="F71" s="239">
        <v>0</v>
      </c>
      <c r="G71" s="361" t="s">
        <v>3259</v>
      </c>
      <c r="H71" s="45" t="s">
        <v>237</v>
      </c>
      <c r="I71" s="44" t="s">
        <v>238</v>
      </c>
      <c r="J71" s="44" t="s">
        <v>1529</v>
      </c>
      <c r="K71" s="203">
        <f t="shared" ref="K71:K134" si="2">+L71+M71</f>
        <v>0</v>
      </c>
      <c r="L71" s="203">
        <v>0</v>
      </c>
      <c r="M71" s="203"/>
      <c r="N71" s="203">
        <f t="shared" ref="N71:N134" si="3">+O71+P71</f>
        <v>0</v>
      </c>
      <c r="O71" s="203">
        <v>0</v>
      </c>
      <c r="P71" s="203"/>
    </row>
    <row r="72" spans="1:16">
      <c r="A72" s="391">
        <v>630</v>
      </c>
      <c r="B72" s="239">
        <v>100</v>
      </c>
      <c r="C72" s="239">
        <v>100</v>
      </c>
      <c r="D72" s="239">
        <v>700</v>
      </c>
      <c r="E72" s="239">
        <v>0</v>
      </c>
      <c r="F72" s="239">
        <v>0</v>
      </c>
      <c r="G72" s="361" t="s">
        <v>3260</v>
      </c>
      <c r="H72" s="45" t="s">
        <v>239</v>
      </c>
      <c r="I72" s="44" t="s">
        <v>240</v>
      </c>
      <c r="J72" s="44" t="s">
        <v>1529</v>
      </c>
      <c r="K72" s="203">
        <f t="shared" si="2"/>
        <v>0</v>
      </c>
      <c r="L72" s="203">
        <v>0</v>
      </c>
      <c r="M72" s="203"/>
      <c r="N72" s="203">
        <f t="shared" si="3"/>
        <v>0</v>
      </c>
      <c r="O72" s="203">
        <v>0</v>
      </c>
      <c r="P72" s="203"/>
    </row>
    <row r="73" spans="1:16">
      <c r="A73" s="391">
        <v>630</v>
      </c>
      <c r="B73" s="239">
        <v>100</v>
      </c>
      <c r="C73" s="239">
        <v>100</v>
      </c>
      <c r="D73" s="239">
        <v>800</v>
      </c>
      <c r="E73" s="239">
        <v>0</v>
      </c>
      <c r="F73" s="239">
        <v>0</v>
      </c>
      <c r="G73" s="361" t="s">
        <v>3261</v>
      </c>
      <c r="H73" s="45" t="s">
        <v>241</v>
      </c>
      <c r="I73" s="44" t="s">
        <v>242</v>
      </c>
      <c r="J73" s="44" t="s">
        <v>1529</v>
      </c>
      <c r="K73" s="203">
        <f t="shared" si="2"/>
        <v>0</v>
      </c>
      <c r="L73" s="203">
        <v>0</v>
      </c>
      <c r="M73" s="203"/>
      <c r="N73" s="203">
        <f t="shared" si="3"/>
        <v>0</v>
      </c>
      <c r="O73" s="203">
        <v>0</v>
      </c>
      <c r="P73" s="203"/>
    </row>
    <row r="74" spans="1:16">
      <c r="A74" s="391">
        <v>630</v>
      </c>
      <c r="B74" s="239">
        <v>100</v>
      </c>
      <c r="C74" s="239">
        <v>100</v>
      </c>
      <c r="D74" s="239">
        <v>810</v>
      </c>
      <c r="E74" s="239">
        <v>0</v>
      </c>
      <c r="F74" s="239">
        <v>0</v>
      </c>
      <c r="G74" s="361" t="s">
        <v>3262</v>
      </c>
      <c r="H74" s="45" t="s">
        <v>243</v>
      </c>
      <c r="I74" s="44" t="s">
        <v>244</v>
      </c>
      <c r="J74" s="44" t="s">
        <v>1529</v>
      </c>
      <c r="K74" s="203">
        <f t="shared" si="2"/>
        <v>0</v>
      </c>
      <c r="L74" s="203">
        <v>0</v>
      </c>
      <c r="M74" s="203"/>
      <c r="N74" s="203">
        <f t="shared" si="3"/>
        <v>0</v>
      </c>
      <c r="O74" s="203">
        <v>0</v>
      </c>
      <c r="P74" s="203"/>
    </row>
    <row r="75" spans="1:16">
      <c r="A75" s="391">
        <v>630</v>
      </c>
      <c r="B75" s="239">
        <v>100</v>
      </c>
      <c r="C75" s="239">
        <v>100</v>
      </c>
      <c r="D75" s="239">
        <v>820</v>
      </c>
      <c r="E75" s="239">
        <v>0</v>
      </c>
      <c r="F75" s="239">
        <v>0</v>
      </c>
      <c r="G75" s="361" t="s">
        <v>3263</v>
      </c>
      <c r="H75" s="45" t="s">
        <v>245</v>
      </c>
      <c r="I75" s="44" t="s">
        <v>246</v>
      </c>
      <c r="J75" s="44" t="s">
        <v>1529</v>
      </c>
      <c r="K75" s="203">
        <f t="shared" si="2"/>
        <v>0</v>
      </c>
      <c r="L75" s="203">
        <v>0</v>
      </c>
      <c r="M75" s="203"/>
      <c r="N75" s="203">
        <f t="shared" si="3"/>
        <v>0</v>
      </c>
      <c r="O75" s="203">
        <v>0</v>
      </c>
      <c r="P75" s="203"/>
    </row>
    <row r="76" spans="1:16" ht="25.5">
      <c r="A76" s="391">
        <v>630</v>
      </c>
      <c r="B76" s="239">
        <v>100</v>
      </c>
      <c r="C76" s="239">
        <v>100</v>
      </c>
      <c r="D76" s="239">
        <v>830</v>
      </c>
      <c r="E76" s="239">
        <v>0</v>
      </c>
      <c r="F76" s="239">
        <v>0</v>
      </c>
      <c r="G76" s="361" t="s">
        <v>3264</v>
      </c>
      <c r="H76" s="45" t="s">
        <v>247</v>
      </c>
      <c r="I76" s="44" t="s">
        <v>248</v>
      </c>
      <c r="J76" s="44" t="s">
        <v>1529</v>
      </c>
      <c r="K76" s="203">
        <f t="shared" si="2"/>
        <v>0</v>
      </c>
      <c r="L76" s="203">
        <v>0</v>
      </c>
      <c r="M76" s="203"/>
      <c r="N76" s="203">
        <f t="shared" si="3"/>
        <v>0</v>
      </c>
      <c r="O76" s="203">
        <v>0</v>
      </c>
      <c r="P76" s="203"/>
    </row>
    <row r="77" spans="1:16" ht="25.5">
      <c r="A77" s="391">
        <v>630</v>
      </c>
      <c r="B77" s="239">
        <v>100</v>
      </c>
      <c r="C77" s="239">
        <v>100</v>
      </c>
      <c r="D77" s="239">
        <v>840</v>
      </c>
      <c r="E77" s="239">
        <v>0</v>
      </c>
      <c r="F77" s="239">
        <v>0</v>
      </c>
      <c r="G77" s="361" t="s">
        <v>3265</v>
      </c>
      <c r="H77" s="45" t="s">
        <v>249</v>
      </c>
      <c r="I77" s="44" t="s">
        <v>250</v>
      </c>
      <c r="J77" s="44" t="s">
        <v>1529</v>
      </c>
      <c r="K77" s="203">
        <f t="shared" si="2"/>
        <v>0</v>
      </c>
      <c r="L77" s="203">
        <v>0</v>
      </c>
      <c r="M77" s="203"/>
      <c r="N77" s="203">
        <f t="shared" si="3"/>
        <v>0</v>
      </c>
      <c r="O77" s="203">
        <v>0</v>
      </c>
      <c r="P77" s="203"/>
    </row>
    <row r="78" spans="1:16">
      <c r="A78" s="391">
        <v>630</v>
      </c>
      <c r="B78" s="239">
        <v>100</v>
      </c>
      <c r="C78" s="239">
        <v>100</v>
      </c>
      <c r="D78" s="239">
        <v>850</v>
      </c>
      <c r="E78" s="239">
        <v>0</v>
      </c>
      <c r="F78" s="239">
        <v>0</v>
      </c>
      <c r="G78" s="361" t="s">
        <v>3266</v>
      </c>
      <c r="H78" s="45" t="s">
        <v>251</v>
      </c>
      <c r="I78" s="44" t="s">
        <v>252</v>
      </c>
      <c r="J78" s="44" t="s">
        <v>1529</v>
      </c>
      <c r="K78" s="203">
        <f t="shared" si="2"/>
        <v>0</v>
      </c>
      <c r="L78" s="203">
        <v>0</v>
      </c>
      <c r="M78" s="203"/>
      <c r="N78" s="203">
        <f t="shared" si="3"/>
        <v>0</v>
      </c>
      <c r="O78" s="203">
        <v>0</v>
      </c>
      <c r="P78" s="203"/>
    </row>
    <row r="79" spans="1:16" ht="25.5">
      <c r="A79" s="391">
        <v>630</v>
      </c>
      <c r="B79" s="239">
        <v>100</v>
      </c>
      <c r="C79" s="239">
        <v>100</v>
      </c>
      <c r="D79" s="239">
        <v>900</v>
      </c>
      <c r="E79" s="239">
        <v>0</v>
      </c>
      <c r="F79" s="239">
        <v>0</v>
      </c>
      <c r="G79" s="359" t="s">
        <v>3267</v>
      </c>
      <c r="H79" s="43" t="s">
        <v>253</v>
      </c>
      <c r="I79" s="44" t="s">
        <v>254</v>
      </c>
      <c r="J79" s="44" t="s">
        <v>1529</v>
      </c>
      <c r="K79" s="413"/>
      <c r="L79" s="413">
        <v>0</v>
      </c>
      <c r="M79" s="413"/>
      <c r="N79" s="413">
        <f t="shared" si="3"/>
        <v>0</v>
      </c>
      <c r="O79" s="413">
        <v>0</v>
      </c>
      <c r="P79" s="413"/>
    </row>
    <row r="80" spans="1:16">
      <c r="A80" s="391">
        <v>630</v>
      </c>
      <c r="B80" s="239">
        <v>100</v>
      </c>
      <c r="C80" s="239">
        <v>100</v>
      </c>
      <c r="D80" s="239">
        <v>900</v>
      </c>
      <c r="E80" s="239">
        <v>10</v>
      </c>
      <c r="F80" s="239">
        <v>0</v>
      </c>
      <c r="G80" s="361" t="s">
        <v>3268</v>
      </c>
      <c r="H80" s="45" t="s">
        <v>255</v>
      </c>
      <c r="I80" s="44"/>
      <c r="J80" s="44" t="s">
        <v>1529</v>
      </c>
      <c r="K80" s="203">
        <f t="shared" si="2"/>
        <v>1859.23</v>
      </c>
      <c r="L80" s="203">
        <v>1859.23</v>
      </c>
      <c r="M80" s="203"/>
      <c r="N80" s="203">
        <f t="shared" si="3"/>
        <v>3744.65</v>
      </c>
      <c r="O80" s="203">
        <v>3744.65</v>
      </c>
      <c r="P80" s="203"/>
    </row>
    <row r="81" spans="1:16" ht="25.5">
      <c r="A81" s="391">
        <v>630</v>
      </c>
      <c r="B81" s="239">
        <v>100</v>
      </c>
      <c r="C81" s="239">
        <v>100</v>
      </c>
      <c r="D81" s="239">
        <v>900</v>
      </c>
      <c r="E81" s="239">
        <v>90</v>
      </c>
      <c r="F81" s="239">
        <v>0</v>
      </c>
      <c r="G81" s="361" t="s">
        <v>3269</v>
      </c>
      <c r="H81" s="45" t="s">
        <v>253</v>
      </c>
      <c r="I81" s="44"/>
      <c r="J81" s="44" t="s">
        <v>1529</v>
      </c>
      <c r="K81" s="203">
        <f t="shared" si="2"/>
        <v>147973.13</v>
      </c>
      <c r="L81" s="203">
        <v>147973.13</v>
      </c>
      <c r="M81" s="203"/>
      <c r="N81" s="203">
        <f t="shared" si="3"/>
        <v>225572.39</v>
      </c>
      <c r="O81" s="203">
        <v>225572.39</v>
      </c>
      <c r="P81" s="203"/>
    </row>
    <row r="82" spans="1:16" ht="38.25">
      <c r="A82" s="391">
        <v>630</v>
      </c>
      <c r="B82" s="239">
        <v>100</v>
      </c>
      <c r="C82" s="239">
        <v>200</v>
      </c>
      <c r="D82" s="239">
        <v>0</v>
      </c>
      <c r="E82" s="239">
        <v>0</v>
      </c>
      <c r="F82" s="239">
        <v>0</v>
      </c>
      <c r="G82" s="361" t="s">
        <v>3270</v>
      </c>
      <c r="H82" s="45" t="s">
        <v>256</v>
      </c>
      <c r="I82" s="44" t="s">
        <v>257</v>
      </c>
      <c r="J82" s="44"/>
      <c r="K82" s="203">
        <f t="shared" si="2"/>
        <v>0</v>
      </c>
      <c r="L82" s="203">
        <v>0</v>
      </c>
      <c r="M82" s="203"/>
      <c r="N82" s="203">
        <f t="shared" si="3"/>
        <v>0</v>
      </c>
      <c r="O82" s="203">
        <v>0</v>
      </c>
      <c r="P82" s="203"/>
    </row>
    <row r="83" spans="1:16" ht="25.5">
      <c r="A83" s="391">
        <v>630</v>
      </c>
      <c r="B83" s="239">
        <v>100</v>
      </c>
      <c r="C83" s="239">
        <v>300</v>
      </c>
      <c r="D83" s="239">
        <v>0</v>
      </c>
      <c r="E83" s="239">
        <v>0</v>
      </c>
      <c r="F83" s="239">
        <v>0</v>
      </c>
      <c r="G83" s="359" t="s">
        <v>3271</v>
      </c>
      <c r="H83" s="43" t="s">
        <v>258</v>
      </c>
      <c r="I83" s="44" t="s">
        <v>259</v>
      </c>
      <c r="J83" s="44"/>
      <c r="K83" s="413"/>
      <c r="L83" s="413">
        <v>0</v>
      </c>
      <c r="M83" s="413"/>
      <c r="N83" s="413">
        <f t="shared" si="3"/>
        <v>0</v>
      </c>
      <c r="O83" s="413">
        <v>0</v>
      </c>
      <c r="P83" s="413"/>
    </row>
    <row r="84" spans="1:16">
      <c r="A84" s="391">
        <v>630</v>
      </c>
      <c r="B84" s="239">
        <v>100</v>
      </c>
      <c r="C84" s="239">
        <v>300</v>
      </c>
      <c r="D84" s="239">
        <v>100</v>
      </c>
      <c r="E84" s="239">
        <v>0</v>
      </c>
      <c r="F84" s="239">
        <v>0</v>
      </c>
      <c r="G84" s="359" t="s">
        <v>3272</v>
      </c>
      <c r="H84" s="43" t="s">
        <v>222</v>
      </c>
      <c r="I84" s="44" t="s">
        <v>260</v>
      </c>
      <c r="J84" s="44" t="s">
        <v>1574</v>
      </c>
      <c r="K84" s="413"/>
      <c r="L84" s="413">
        <v>0</v>
      </c>
      <c r="M84" s="413"/>
      <c r="N84" s="413">
        <f t="shared" si="3"/>
        <v>0</v>
      </c>
      <c r="O84" s="413">
        <v>0</v>
      </c>
      <c r="P84" s="413"/>
    </row>
    <row r="85" spans="1:16" ht="25.5">
      <c r="A85" s="391">
        <v>630</v>
      </c>
      <c r="B85" s="239">
        <v>100</v>
      </c>
      <c r="C85" s="239">
        <v>300</v>
      </c>
      <c r="D85" s="239">
        <v>100</v>
      </c>
      <c r="E85" s="238">
        <v>10</v>
      </c>
      <c r="F85" s="238">
        <v>0</v>
      </c>
      <c r="G85" s="360" t="s">
        <v>3273</v>
      </c>
      <c r="H85" s="45" t="s">
        <v>261</v>
      </c>
      <c r="I85" s="47"/>
      <c r="J85" s="47" t="s">
        <v>1574</v>
      </c>
      <c r="K85" s="203">
        <f t="shared" si="2"/>
        <v>3832159</v>
      </c>
      <c r="L85" s="203">
        <v>3832159</v>
      </c>
      <c r="M85" s="203"/>
      <c r="N85" s="203">
        <f t="shared" si="3"/>
        <v>3956495</v>
      </c>
      <c r="O85" s="203">
        <v>3956495</v>
      </c>
      <c r="P85" s="203"/>
    </row>
    <row r="86" spans="1:16">
      <c r="A86" s="391">
        <v>630</v>
      </c>
      <c r="B86" s="239">
        <v>100</v>
      </c>
      <c r="C86" s="239">
        <v>300</v>
      </c>
      <c r="D86" s="239">
        <v>150</v>
      </c>
      <c r="E86" s="239">
        <v>0</v>
      </c>
      <c r="F86" s="239">
        <v>0</v>
      </c>
      <c r="G86" s="359" t="s">
        <v>3275</v>
      </c>
      <c r="H86" s="43" t="s">
        <v>262</v>
      </c>
      <c r="I86" s="44" t="s">
        <v>263</v>
      </c>
      <c r="J86" s="44" t="s">
        <v>1574</v>
      </c>
      <c r="K86" s="413"/>
      <c r="L86" s="413">
        <v>0</v>
      </c>
      <c r="M86" s="413"/>
      <c r="N86" s="413">
        <f t="shared" si="3"/>
        <v>0</v>
      </c>
      <c r="O86" s="413">
        <v>0</v>
      </c>
      <c r="P86" s="413"/>
    </row>
    <row r="87" spans="1:16" ht="25.5">
      <c r="A87" s="391">
        <v>630</v>
      </c>
      <c r="B87" s="239">
        <v>100</v>
      </c>
      <c r="C87" s="239">
        <v>300</v>
      </c>
      <c r="D87" s="239">
        <v>150</v>
      </c>
      <c r="E87" s="238">
        <v>100</v>
      </c>
      <c r="F87" s="238">
        <v>0</v>
      </c>
      <c r="G87" s="360" t="s">
        <v>3276</v>
      </c>
      <c r="H87" s="45" t="s">
        <v>264</v>
      </c>
      <c r="I87" s="47"/>
      <c r="J87" s="47" t="s">
        <v>1574</v>
      </c>
      <c r="K87" s="203">
        <f t="shared" si="2"/>
        <v>1315853</v>
      </c>
      <c r="L87" s="203">
        <v>1315853</v>
      </c>
      <c r="M87" s="203"/>
      <c r="N87" s="203">
        <f t="shared" si="3"/>
        <v>1120222</v>
      </c>
      <c r="O87" s="203">
        <v>1120222</v>
      </c>
      <c r="P87" s="203"/>
    </row>
    <row r="88" spans="1:16" ht="25.5">
      <c r="A88" s="391">
        <v>630</v>
      </c>
      <c r="B88" s="239">
        <v>100</v>
      </c>
      <c r="C88" s="239">
        <v>300</v>
      </c>
      <c r="D88" s="239">
        <v>160</v>
      </c>
      <c r="E88" s="238">
        <v>0</v>
      </c>
      <c r="F88" s="238">
        <v>0</v>
      </c>
      <c r="G88" s="360" t="s">
        <v>3278</v>
      </c>
      <c r="H88" s="45" t="s">
        <v>265</v>
      </c>
      <c r="I88" s="44" t="s">
        <v>266</v>
      </c>
      <c r="J88" s="44" t="s">
        <v>1574</v>
      </c>
      <c r="K88" s="203">
        <f t="shared" si="2"/>
        <v>0</v>
      </c>
      <c r="L88" s="203">
        <v>0</v>
      </c>
      <c r="M88" s="203"/>
      <c r="N88" s="203">
        <f t="shared" si="3"/>
        <v>0</v>
      </c>
      <c r="O88" s="203">
        <v>0</v>
      </c>
      <c r="P88" s="203"/>
    </row>
    <row r="89" spans="1:16" ht="25.5">
      <c r="A89" s="391">
        <v>630</v>
      </c>
      <c r="B89" s="239">
        <v>100</v>
      </c>
      <c r="C89" s="239">
        <v>300</v>
      </c>
      <c r="D89" s="239">
        <v>200</v>
      </c>
      <c r="E89" s="239">
        <v>0</v>
      </c>
      <c r="F89" s="239">
        <v>0</v>
      </c>
      <c r="G89" s="361" t="s">
        <v>3279</v>
      </c>
      <c r="H89" s="45" t="s">
        <v>267</v>
      </c>
      <c r="I89" s="44" t="s">
        <v>268</v>
      </c>
      <c r="J89" s="44" t="s">
        <v>1578</v>
      </c>
      <c r="K89" s="203">
        <f t="shared" si="2"/>
        <v>0</v>
      </c>
      <c r="L89" s="203">
        <v>0</v>
      </c>
      <c r="M89" s="203"/>
      <c r="N89" s="203">
        <f t="shared" si="3"/>
        <v>0</v>
      </c>
      <c r="O89" s="203">
        <v>0</v>
      </c>
      <c r="P89" s="203"/>
    </row>
    <row r="90" spans="1:16">
      <c r="A90" s="391">
        <v>630</v>
      </c>
      <c r="B90" s="239">
        <v>100</v>
      </c>
      <c r="C90" s="239">
        <v>300</v>
      </c>
      <c r="D90" s="239">
        <v>250</v>
      </c>
      <c r="E90" s="239">
        <v>0</v>
      </c>
      <c r="F90" s="239">
        <v>0</v>
      </c>
      <c r="G90" s="361" t="s">
        <v>3280</v>
      </c>
      <c r="H90" s="45" t="s">
        <v>233</v>
      </c>
      <c r="I90" s="44" t="s">
        <v>269</v>
      </c>
      <c r="J90" s="44" t="s">
        <v>1574</v>
      </c>
      <c r="K90" s="203">
        <f t="shared" si="2"/>
        <v>142412</v>
      </c>
      <c r="L90" s="203">
        <v>142412</v>
      </c>
      <c r="M90" s="203"/>
      <c r="N90" s="203">
        <f t="shared" si="3"/>
        <v>199555</v>
      </c>
      <c r="O90" s="203">
        <v>199555</v>
      </c>
      <c r="P90" s="203"/>
    </row>
    <row r="91" spans="1:16" ht="25.5">
      <c r="A91" s="391">
        <v>630</v>
      </c>
      <c r="B91" s="239">
        <v>100</v>
      </c>
      <c r="C91" s="239">
        <v>300</v>
      </c>
      <c r="D91" s="239">
        <v>300</v>
      </c>
      <c r="E91" s="239">
        <v>0</v>
      </c>
      <c r="F91" s="239">
        <v>0</v>
      </c>
      <c r="G91" s="361" t="s">
        <v>3281</v>
      </c>
      <c r="H91" s="45" t="s">
        <v>270</v>
      </c>
      <c r="I91" s="44" t="s">
        <v>271</v>
      </c>
      <c r="J91" s="44" t="s">
        <v>1574</v>
      </c>
      <c r="K91" s="203">
        <f t="shared" si="2"/>
        <v>0</v>
      </c>
      <c r="L91" s="203">
        <v>0</v>
      </c>
      <c r="M91" s="203"/>
      <c r="N91" s="203">
        <f t="shared" si="3"/>
        <v>0</v>
      </c>
      <c r="O91" s="203">
        <v>0</v>
      </c>
      <c r="P91" s="203"/>
    </row>
    <row r="92" spans="1:16" ht="25.5">
      <c r="A92" s="391">
        <v>630</v>
      </c>
      <c r="B92" s="239">
        <v>100</v>
      </c>
      <c r="C92" s="239">
        <v>300</v>
      </c>
      <c r="D92" s="239">
        <v>350</v>
      </c>
      <c r="E92" s="239">
        <v>0</v>
      </c>
      <c r="F92" s="239">
        <v>0</v>
      </c>
      <c r="G92" s="361" t="s">
        <v>3282</v>
      </c>
      <c r="H92" s="45" t="s">
        <v>272</v>
      </c>
      <c r="I92" s="44" t="s">
        <v>273</v>
      </c>
      <c r="J92" s="44" t="s">
        <v>1574</v>
      </c>
      <c r="K92" s="203">
        <f t="shared" si="2"/>
        <v>0</v>
      </c>
      <c r="L92" s="203">
        <v>0</v>
      </c>
      <c r="M92" s="203"/>
      <c r="N92" s="203">
        <f t="shared" si="3"/>
        <v>0</v>
      </c>
      <c r="O92" s="203">
        <v>0</v>
      </c>
      <c r="P92" s="203"/>
    </row>
    <row r="93" spans="1:16">
      <c r="A93" s="391">
        <v>630</v>
      </c>
      <c r="B93" s="239">
        <v>100</v>
      </c>
      <c r="C93" s="239">
        <v>300</v>
      </c>
      <c r="D93" s="239">
        <v>400</v>
      </c>
      <c r="E93" s="239">
        <v>0</v>
      </c>
      <c r="F93" s="239">
        <v>0</v>
      </c>
      <c r="G93" s="361" t="s">
        <v>3283</v>
      </c>
      <c r="H93" s="45" t="s">
        <v>274</v>
      </c>
      <c r="I93" s="44" t="s">
        <v>275</v>
      </c>
      <c r="J93" s="44" t="s">
        <v>1574</v>
      </c>
      <c r="K93" s="203">
        <f t="shared" si="2"/>
        <v>0</v>
      </c>
      <c r="L93" s="203">
        <v>0</v>
      </c>
      <c r="M93" s="203"/>
      <c r="N93" s="203">
        <f t="shared" si="3"/>
        <v>0</v>
      </c>
      <c r="O93" s="203">
        <v>0</v>
      </c>
      <c r="P93" s="203"/>
    </row>
    <row r="94" spans="1:16" ht="25.5">
      <c r="A94" s="391">
        <v>630</v>
      </c>
      <c r="B94" s="239">
        <v>100</v>
      </c>
      <c r="C94" s="239">
        <v>300</v>
      </c>
      <c r="D94" s="239">
        <v>450</v>
      </c>
      <c r="E94" s="239">
        <v>0</v>
      </c>
      <c r="F94" s="239">
        <v>0</v>
      </c>
      <c r="G94" s="361" t="s">
        <v>3284</v>
      </c>
      <c r="H94" s="45" t="s">
        <v>276</v>
      </c>
      <c r="I94" s="44" t="s">
        <v>277</v>
      </c>
      <c r="J94" s="44" t="s">
        <v>1574</v>
      </c>
      <c r="K94" s="203">
        <f t="shared" si="2"/>
        <v>0</v>
      </c>
      <c r="L94" s="203">
        <v>0</v>
      </c>
      <c r="M94" s="203"/>
      <c r="N94" s="203">
        <f t="shared" si="3"/>
        <v>0</v>
      </c>
      <c r="O94" s="203">
        <v>0</v>
      </c>
      <c r="P94" s="203"/>
    </row>
    <row r="95" spans="1:16" ht="25.5">
      <c r="A95" s="391">
        <v>630</v>
      </c>
      <c r="B95" s="239">
        <v>100</v>
      </c>
      <c r="C95" s="239">
        <v>300</v>
      </c>
      <c r="D95" s="239">
        <v>510</v>
      </c>
      <c r="E95" s="239">
        <v>0</v>
      </c>
      <c r="F95" s="239">
        <v>0</v>
      </c>
      <c r="G95" s="361" t="s">
        <v>3285</v>
      </c>
      <c r="H95" s="45" t="s">
        <v>278</v>
      </c>
      <c r="I95" s="44" t="s">
        <v>279</v>
      </c>
      <c r="J95" s="44" t="s">
        <v>1578</v>
      </c>
      <c r="K95" s="203">
        <f t="shared" si="2"/>
        <v>0</v>
      </c>
      <c r="L95" s="203">
        <v>0</v>
      </c>
      <c r="M95" s="203"/>
      <c r="N95" s="203">
        <f t="shared" si="3"/>
        <v>0</v>
      </c>
      <c r="O95" s="203">
        <v>0</v>
      </c>
      <c r="P95" s="203"/>
    </row>
    <row r="96" spans="1:16" ht="25.5">
      <c r="A96" s="391">
        <v>630</v>
      </c>
      <c r="B96" s="239">
        <v>100</v>
      </c>
      <c r="C96" s="239">
        <v>300</v>
      </c>
      <c r="D96" s="239">
        <v>520</v>
      </c>
      <c r="E96" s="239">
        <v>0</v>
      </c>
      <c r="F96" s="239">
        <v>0</v>
      </c>
      <c r="G96" s="361" t="s">
        <v>3286</v>
      </c>
      <c r="H96" s="45" t="s">
        <v>280</v>
      </c>
      <c r="I96" s="44" t="s">
        <v>281</v>
      </c>
      <c r="J96" s="44" t="s">
        <v>1578</v>
      </c>
      <c r="K96" s="203">
        <f t="shared" si="2"/>
        <v>0</v>
      </c>
      <c r="L96" s="203">
        <v>0</v>
      </c>
      <c r="M96" s="203"/>
      <c r="N96" s="203">
        <f t="shared" si="3"/>
        <v>0</v>
      </c>
      <c r="O96" s="203">
        <v>0</v>
      </c>
      <c r="P96" s="203"/>
    </row>
    <row r="97" spans="1:16" ht="25.5">
      <c r="A97" s="391">
        <v>630</v>
      </c>
      <c r="B97" s="239">
        <v>100</v>
      </c>
      <c r="C97" s="239">
        <v>300</v>
      </c>
      <c r="D97" s="239">
        <v>550</v>
      </c>
      <c r="E97" s="239">
        <v>0</v>
      </c>
      <c r="F97" s="239">
        <v>0</v>
      </c>
      <c r="G97" s="361" t="s">
        <v>3287</v>
      </c>
      <c r="H97" s="45" t="s">
        <v>282</v>
      </c>
      <c r="I97" s="44" t="s">
        <v>283</v>
      </c>
      <c r="J97" s="44" t="s">
        <v>1574</v>
      </c>
      <c r="K97" s="203">
        <f t="shared" si="2"/>
        <v>0</v>
      </c>
      <c r="L97" s="203">
        <v>0</v>
      </c>
      <c r="M97" s="203"/>
      <c r="N97" s="203">
        <f t="shared" si="3"/>
        <v>0</v>
      </c>
      <c r="O97" s="203">
        <v>0</v>
      </c>
      <c r="P97" s="203"/>
    </row>
    <row r="98" spans="1:16" ht="25.5">
      <c r="A98" s="391">
        <v>630</v>
      </c>
      <c r="B98" s="239">
        <v>100</v>
      </c>
      <c r="C98" s="239">
        <v>300</v>
      </c>
      <c r="D98" s="239">
        <v>600</v>
      </c>
      <c r="E98" s="239">
        <v>0</v>
      </c>
      <c r="F98" s="239">
        <v>0</v>
      </c>
      <c r="G98" s="361" t="s">
        <v>3288</v>
      </c>
      <c r="H98" s="45" t="s">
        <v>285</v>
      </c>
      <c r="I98" s="44" t="s">
        <v>284</v>
      </c>
      <c r="J98" s="44" t="s">
        <v>1574</v>
      </c>
      <c r="K98" s="203">
        <f t="shared" si="2"/>
        <v>0</v>
      </c>
      <c r="L98" s="203">
        <v>0</v>
      </c>
      <c r="M98" s="203"/>
      <c r="N98" s="203">
        <f t="shared" si="3"/>
        <v>0</v>
      </c>
      <c r="O98" s="203">
        <v>0</v>
      </c>
      <c r="P98" s="203"/>
    </row>
    <row r="99" spans="1:16" ht="38.25">
      <c r="A99" s="391">
        <v>630</v>
      </c>
      <c r="B99" s="239">
        <v>100</v>
      </c>
      <c r="C99" s="239">
        <v>300</v>
      </c>
      <c r="D99" s="239">
        <v>610</v>
      </c>
      <c r="E99" s="239">
        <v>0</v>
      </c>
      <c r="F99" s="239">
        <v>0</v>
      </c>
      <c r="G99" s="361" t="s">
        <v>3289</v>
      </c>
      <c r="H99" s="45" t="s">
        <v>286</v>
      </c>
      <c r="I99" s="44" t="s">
        <v>287</v>
      </c>
      <c r="J99" s="44" t="s">
        <v>1574</v>
      </c>
      <c r="K99" s="203">
        <f t="shared" si="2"/>
        <v>0</v>
      </c>
      <c r="L99" s="203">
        <v>0</v>
      </c>
      <c r="M99" s="203"/>
      <c r="N99" s="203">
        <f t="shared" si="3"/>
        <v>260481</v>
      </c>
      <c r="O99" s="203">
        <v>260481</v>
      </c>
      <c r="P99" s="203"/>
    </row>
    <row r="100" spans="1:16" ht="25.5">
      <c r="A100" s="391">
        <v>630</v>
      </c>
      <c r="B100" s="239">
        <v>100</v>
      </c>
      <c r="C100" s="239">
        <v>300</v>
      </c>
      <c r="D100" s="239">
        <v>650</v>
      </c>
      <c r="E100" s="239">
        <v>0</v>
      </c>
      <c r="F100" s="239">
        <v>0</v>
      </c>
      <c r="G100" s="359" t="s">
        <v>3290</v>
      </c>
      <c r="H100" s="43" t="s">
        <v>288</v>
      </c>
      <c r="I100" s="44" t="s">
        <v>289</v>
      </c>
      <c r="J100" s="44" t="s">
        <v>1578</v>
      </c>
      <c r="K100" s="413"/>
      <c r="L100" s="413">
        <v>0</v>
      </c>
      <c r="M100" s="413"/>
      <c r="N100" s="413">
        <f t="shared" si="3"/>
        <v>0</v>
      </c>
      <c r="O100" s="413">
        <v>0</v>
      </c>
      <c r="P100" s="413"/>
    </row>
    <row r="101" spans="1:16" ht="25.5">
      <c r="A101" s="391">
        <v>630</v>
      </c>
      <c r="B101" s="239">
        <v>100</v>
      </c>
      <c r="C101" s="239">
        <v>300</v>
      </c>
      <c r="D101" s="239">
        <v>650</v>
      </c>
      <c r="E101" s="239">
        <v>10</v>
      </c>
      <c r="F101" s="239">
        <v>0</v>
      </c>
      <c r="G101" s="361" t="s">
        <v>3291</v>
      </c>
      <c r="H101" s="45" t="s">
        <v>290</v>
      </c>
      <c r="I101" s="44" t="s">
        <v>291</v>
      </c>
      <c r="J101" s="44" t="s">
        <v>1578</v>
      </c>
      <c r="K101" s="203">
        <f t="shared" si="2"/>
        <v>0</v>
      </c>
      <c r="L101" s="203">
        <v>0</v>
      </c>
      <c r="M101" s="203"/>
      <c r="N101" s="203">
        <f t="shared" si="3"/>
        <v>0</v>
      </c>
      <c r="O101" s="203">
        <v>0</v>
      </c>
      <c r="P101" s="203"/>
    </row>
    <row r="102" spans="1:16" ht="25.5">
      <c r="A102" s="391">
        <v>630</v>
      </c>
      <c r="B102" s="239">
        <v>100</v>
      </c>
      <c r="C102" s="239">
        <v>300</v>
      </c>
      <c r="D102" s="239">
        <v>650</v>
      </c>
      <c r="E102" s="239">
        <v>20</v>
      </c>
      <c r="F102" s="239">
        <v>0</v>
      </c>
      <c r="G102" s="359" t="s">
        <v>3292</v>
      </c>
      <c r="H102" s="43" t="s">
        <v>292</v>
      </c>
      <c r="I102" s="44" t="s">
        <v>293</v>
      </c>
      <c r="J102" s="44" t="s">
        <v>1578</v>
      </c>
      <c r="K102" s="413"/>
      <c r="L102" s="413">
        <v>0</v>
      </c>
      <c r="M102" s="413"/>
      <c r="N102" s="413">
        <f t="shared" si="3"/>
        <v>0</v>
      </c>
      <c r="O102" s="413">
        <v>0</v>
      </c>
      <c r="P102" s="413"/>
    </row>
    <row r="103" spans="1:16">
      <c r="A103" s="391">
        <v>630</v>
      </c>
      <c r="B103" s="239">
        <v>100</v>
      </c>
      <c r="C103" s="239">
        <v>300</v>
      </c>
      <c r="D103" s="239">
        <v>650</v>
      </c>
      <c r="E103" s="239">
        <v>20</v>
      </c>
      <c r="F103" s="238">
        <v>10</v>
      </c>
      <c r="G103" s="360" t="s">
        <v>3293</v>
      </c>
      <c r="H103" s="45" t="s">
        <v>255</v>
      </c>
      <c r="I103" s="47"/>
      <c r="J103" s="47" t="s">
        <v>1578</v>
      </c>
      <c r="K103" s="203">
        <f t="shared" si="2"/>
        <v>0</v>
      </c>
      <c r="L103" s="203">
        <v>0</v>
      </c>
      <c r="M103" s="203"/>
      <c r="N103" s="203">
        <f t="shared" si="3"/>
        <v>0</v>
      </c>
      <c r="O103" s="203">
        <v>0</v>
      </c>
      <c r="P103" s="203"/>
    </row>
    <row r="104" spans="1:16" ht="25.5">
      <c r="A104" s="391">
        <v>630</v>
      </c>
      <c r="B104" s="239">
        <v>100</v>
      </c>
      <c r="C104" s="239">
        <v>300</v>
      </c>
      <c r="D104" s="239">
        <v>650</v>
      </c>
      <c r="E104" s="238">
        <v>20</v>
      </c>
      <c r="F104" s="238">
        <v>11</v>
      </c>
      <c r="G104" s="360" t="s">
        <v>3274</v>
      </c>
      <c r="H104" s="45" t="s">
        <v>225</v>
      </c>
      <c r="I104" s="369"/>
      <c r="J104" s="47" t="s">
        <v>1574</v>
      </c>
      <c r="K104" s="203">
        <f t="shared" si="2"/>
        <v>0</v>
      </c>
      <c r="L104" s="203">
        <v>0</v>
      </c>
      <c r="M104" s="203"/>
      <c r="N104" s="203">
        <f t="shared" si="3"/>
        <v>0</v>
      </c>
      <c r="O104" s="203">
        <v>0</v>
      </c>
      <c r="P104" s="203"/>
    </row>
    <row r="105" spans="1:16" ht="25.5">
      <c r="A105" s="391">
        <v>630</v>
      </c>
      <c r="B105" s="239">
        <v>100</v>
      </c>
      <c r="C105" s="239">
        <v>300</v>
      </c>
      <c r="D105" s="239">
        <v>650</v>
      </c>
      <c r="E105" s="238">
        <v>20</v>
      </c>
      <c r="F105" s="238">
        <v>12</v>
      </c>
      <c r="G105" s="360" t="s">
        <v>3277</v>
      </c>
      <c r="H105" s="45" t="s">
        <v>229</v>
      </c>
      <c r="I105" s="369"/>
      <c r="J105" s="47" t="s">
        <v>1574</v>
      </c>
      <c r="K105" s="203">
        <f t="shared" si="2"/>
        <v>0</v>
      </c>
      <c r="L105" s="203">
        <v>0</v>
      </c>
      <c r="M105" s="203"/>
      <c r="N105" s="203">
        <f t="shared" si="3"/>
        <v>0</v>
      </c>
      <c r="O105" s="203">
        <v>0</v>
      </c>
      <c r="P105" s="203"/>
    </row>
    <row r="106" spans="1:16" ht="38.25">
      <c r="A106" s="391">
        <v>630</v>
      </c>
      <c r="B106" s="239">
        <v>100</v>
      </c>
      <c r="C106" s="239">
        <v>300</v>
      </c>
      <c r="D106" s="239">
        <v>650</v>
      </c>
      <c r="E106" s="239">
        <v>20</v>
      </c>
      <c r="F106" s="238">
        <v>20</v>
      </c>
      <c r="G106" s="360" t="s">
        <v>3294</v>
      </c>
      <c r="H106" s="45" t="s">
        <v>292</v>
      </c>
      <c r="I106" s="47"/>
      <c r="J106" s="47" t="s">
        <v>1578</v>
      </c>
      <c r="K106" s="203">
        <f t="shared" si="2"/>
        <v>15129.34</v>
      </c>
      <c r="L106" s="203">
        <v>15129.34</v>
      </c>
      <c r="M106" s="203"/>
      <c r="N106" s="203">
        <f t="shared" si="3"/>
        <v>31345.759999999998</v>
      </c>
      <c r="O106" s="203">
        <v>31345.759999999998</v>
      </c>
      <c r="P106" s="203"/>
    </row>
    <row r="107" spans="1:16" ht="25.5">
      <c r="A107" s="391">
        <v>630</v>
      </c>
      <c r="B107" s="239">
        <v>100</v>
      </c>
      <c r="C107" s="239">
        <v>300</v>
      </c>
      <c r="D107" s="239">
        <v>700</v>
      </c>
      <c r="E107" s="239">
        <v>0</v>
      </c>
      <c r="F107" s="239">
        <v>0</v>
      </c>
      <c r="G107" s="361" t="s">
        <v>3295</v>
      </c>
      <c r="H107" s="45" t="s">
        <v>294</v>
      </c>
      <c r="I107" s="44" t="s">
        <v>295</v>
      </c>
      <c r="J107" s="44"/>
      <c r="K107" s="203">
        <f t="shared" si="2"/>
        <v>103751.6</v>
      </c>
      <c r="L107" s="203">
        <v>103751.6</v>
      </c>
      <c r="M107" s="203"/>
      <c r="N107" s="203">
        <f t="shared" si="3"/>
        <v>110616</v>
      </c>
      <c r="O107" s="203">
        <v>110616</v>
      </c>
      <c r="P107" s="203"/>
    </row>
    <row r="108" spans="1:16" ht="38.25">
      <c r="A108" s="391">
        <v>630</v>
      </c>
      <c r="B108" s="239">
        <v>100</v>
      </c>
      <c r="C108" s="239">
        <v>300</v>
      </c>
      <c r="D108" s="239">
        <v>800</v>
      </c>
      <c r="E108" s="239">
        <v>0</v>
      </c>
      <c r="F108" s="239">
        <v>0</v>
      </c>
      <c r="G108" s="361" t="s">
        <v>3296</v>
      </c>
      <c r="H108" s="45" t="s">
        <v>296</v>
      </c>
      <c r="I108" s="44" t="s">
        <v>297</v>
      </c>
      <c r="J108" s="44" t="s">
        <v>1529</v>
      </c>
      <c r="K108" s="203">
        <f t="shared" si="2"/>
        <v>0</v>
      </c>
      <c r="L108" s="203">
        <v>0</v>
      </c>
      <c r="M108" s="203"/>
      <c r="N108" s="203">
        <f t="shared" si="3"/>
        <v>0</v>
      </c>
      <c r="O108" s="203">
        <v>0</v>
      </c>
      <c r="P108" s="203"/>
    </row>
    <row r="109" spans="1:16" ht="38.25">
      <c r="A109" s="391">
        <v>630</v>
      </c>
      <c r="B109" s="239">
        <v>100</v>
      </c>
      <c r="C109" s="239">
        <v>300</v>
      </c>
      <c r="D109" s="239">
        <v>900</v>
      </c>
      <c r="E109" s="239">
        <v>0</v>
      </c>
      <c r="F109" s="239">
        <v>0</v>
      </c>
      <c r="G109" s="361" t="s">
        <v>3297</v>
      </c>
      <c r="H109" s="45" t="s">
        <v>298</v>
      </c>
      <c r="I109" s="44" t="s">
        <v>299</v>
      </c>
      <c r="J109" s="44" t="s">
        <v>1578</v>
      </c>
      <c r="K109" s="203">
        <f t="shared" si="2"/>
        <v>0</v>
      </c>
      <c r="L109" s="203">
        <v>0</v>
      </c>
      <c r="M109" s="203"/>
      <c r="N109" s="203">
        <f t="shared" si="3"/>
        <v>0</v>
      </c>
      <c r="O109" s="203">
        <v>0</v>
      </c>
      <c r="P109" s="203"/>
    </row>
    <row r="110" spans="1:16" ht="38.25">
      <c r="A110" s="391">
        <v>630</v>
      </c>
      <c r="B110" s="239">
        <v>200</v>
      </c>
      <c r="C110" s="239">
        <v>0</v>
      </c>
      <c r="D110" s="239">
        <v>0</v>
      </c>
      <c r="E110" s="239">
        <v>0</v>
      </c>
      <c r="F110" s="239">
        <v>0</v>
      </c>
      <c r="G110" s="359" t="s">
        <v>3298</v>
      </c>
      <c r="H110" s="43" t="s">
        <v>300</v>
      </c>
      <c r="I110" s="44" t="s">
        <v>301</v>
      </c>
      <c r="J110" s="44" t="s">
        <v>1574</v>
      </c>
      <c r="K110" s="413"/>
      <c r="L110" s="413">
        <v>0</v>
      </c>
      <c r="M110" s="413"/>
      <c r="N110" s="413">
        <f t="shared" si="3"/>
        <v>0</v>
      </c>
      <c r="O110" s="413">
        <v>0</v>
      </c>
      <c r="P110" s="413"/>
    </row>
    <row r="111" spans="1:16" ht="25.5">
      <c r="A111" s="391">
        <v>630</v>
      </c>
      <c r="B111" s="239">
        <v>200</v>
      </c>
      <c r="C111" s="239">
        <v>100</v>
      </c>
      <c r="D111" s="239">
        <v>0</v>
      </c>
      <c r="E111" s="239">
        <v>0</v>
      </c>
      <c r="F111" s="239">
        <v>0</v>
      </c>
      <c r="G111" s="361" t="s">
        <v>3299</v>
      </c>
      <c r="H111" s="45" t="s">
        <v>302</v>
      </c>
      <c r="I111" s="44" t="s">
        <v>303</v>
      </c>
      <c r="J111" s="44" t="s">
        <v>1574</v>
      </c>
      <c r="K111" s="203">
        <f t="shared" si="2"/>
        <v>0</v>
      </c>
      <c r="L111" s="203">
        <v>0</v>
      </c>
      <c r="M111" s="203"/>
      <c r="N111" s="203">
        <f t="shared" si="3"/>
        <v>0</v>
      </c>
      <c r="O111" s="203">
        <v>0</v>
      </c>
      <c r="P111" s="203"/>
    </row>
    <row r="112" spans="1:16" ht="25.5">
      <c r="A112" s="391">
        <v>630</v>
      </c>
      <c r="B112" s="239">
        <v>200</v>
      </c>
      <c r="C112" s="239">
        <v>200</v>
      </c>
      <c r="D112" s="239">
        <v>0</v>
      </c>
      <c r="E112" s="239">
        <v>0</v>
      </c>
      <c r="F112" s="239">
        <v>0</v>
      </c>
      <c r="G112" s="361" t="s">
        <v>3300</v>
      </c>
      <c r="H112" s="45" t="s">
        <v>304</v>
      </c>
      <c r="I112" s="44" t="s">
        <v>305</v>
      </c>
      <c r="J112" s="44" t="s">
        <v>1574</v>
      </c>
      <c r="K112" s="203">
        <f t="shared" si="2"/>
        <v>0</v>
      </c>
      <c r="L112" s="203">
        <v>0</v>
      </c>
      <c r="M112" s="203"/>
      <c r="N112" s="203">
        <f t="shared" si="3"/>
        <v>0</v>
      </c>
      <c r="O112" s="203">
        <v>0</v>
      </c>
      <c r="P112" s="203"/>
    </row>
    <row r="113" spans="1:16" ht="38.25">
      <c r="A113" s="391">
        <v>630</v>
      </c>
      <c r="B113" s="239">
        <v>200</v>
      </c>
      <c r="C113" s="239">
        <v>250</v>
      </c>
      <c r="D113" s="239">
        <v>0</v>
      </c>
      <c r="E113" s="239">
        <v>0</v>
      </c>
      <c r="F113" s="239">
        <v>0</v>
      </c>
      <c r="G113" s="361" t="s">
        <v>3301</v>
      </c>
      <c r="H113" s="45" t="s">
        <v>306</v>
      </c>
      <c r="I113" s="44" t="s">
        <v>307</v>
      </c>
      <c r="J113" s="44" t="s">
        <v>1574</v>
      </c>
      <c r="K113" s="203">
        <f t="shared" si="2"/>
        <v>0</v>
      </c>
      <c r="L113" s="203">
        <v>0</v>
      </c>
      <c r="M113" s="203"/>
      <c r="N113" s="203">
        <f t="shared" si="3"/>
        <v>0</v>
      </c>
      <c r="O113" s="203">
        <v>0</v>
      </c>
      <c r="P113" s="203"/>
    </row>
    <row r="114" spans="1:16" ht="25.5">
      <c r="A114" s="391">
        <v>630</v>
      </c>
      <c r="B114" s="239">
        <v>200</v>
      </c>
      <c r="C114" s="239">
        <v>300</v>
      </c>
      <c r="D114" s="239">
        <v>0</v>
      </c>
      <c r="E114" s="239">
        <v>0</v>
      </c>
      <c r="F114" s="239">
        <v>0</v>
      </c>
      <c r="G114" s="361" t="s">
        <v>3302</v>
      </c>
      <c r="H114" s="45" t="s">
        <v>308</v>
      </c>
      <c r="I114" s="44" t="s">
        <v>309</v>
      </c>
      <c r="J114" s="44" t="s">
        <v>1574</v>
      </c>
      <c r="K114" s="203">
        <f t="shared" si="2"/>
        <v>0</v>
      </c>
      <c r="L114" s="203">
        <v>0</v>
      </c>
      <c r="M114" s="203"/>
      <c r="N114" s="203">
        <f t="shared" si="3"/>
        <v>0</v>
      </c>
      <c r="O114" s="203">
        <v>0</v>
      </c>
      <c r="P114" s="203"/>
    </row>
    <row r="115" spans="1:16" ht="38.25">
      <c r="A115" s="391">
        <v>630</v>
      </c>
      <c r="B115" s="239">
        <v>200</v>
      </c>
      <c r="C115" s="239">
        <v>400</v>
      </c>
      <c r="D115" s="239">
        <v>0</v>
      </c>
      <c r="E115" s="239">
        <v>0</v>
      </c>
      <c r="F115" s="239">
        <v>0</v>
      </c>
      <c r="G115" s="361" t="s">
        <v>3303</v>
      </c>
      <c r="H115" s="45" t="s">
        <v>310</v>
      </c>
      <c r="I115" s="44" t="s">
        <v>311</v>
      </c>
      <c r="J115" s="44" t="s">
        <v>1574</v>
      </c>
      <c r="K115" s="203">
        <f t="shared" si="2"/>
        <v>0</v>
      </c>
      <c r="L115" s="203">
        <v>0</v>
      </c>
      <c r="M115" s="203"/>
      <c r="N115" s="203">
        <f t="shared" si="3"/>
        <v>0</v>
      </c>
      <c r="O115" s="203">
        <v>0</v>
      </c>
      <c r="P115" s="203"/>
    </row>
    <row r="116" spans="1:16" ht="25.5">
      <c r="A116" s="391">
        <v>630</v>
      </c>
      <c r="B116" s="239">
        <v>300</v>
      </c>
      <c r="C116" s="239">
        <v>0</v>
      </c>
      <c r="D116" s="239">
        <v>0</v>
      </c>
      <c r="E116" s="239">
        <v>0</v>
      </c>
      <c r="F116" s="239">
        <v>0</v>
      </c>
      <c r="G116" s="359" t="s">
        <v>3304</v>
      </c>
      <c r="H116" s="43" t="s">
        <v>312</v>
      </c>
      <c r="I116" s="44" t="s">
        <v>313</v>
      </c>
      <c r="J116" s="44"/>
      <c r="K116" s="413"/>
      <c r="L116" s="413">
        <v>0</v>
      </c>
      <c r="M116" s="413"/>
      <c r="N116" s="413">
        <f t="shared" si="3"/>
        <v>0</v>
      </c>
      <c r="O116" s="413">
        <v>0</v>
      </c>
      <c r="P116" s="413"/>
    </row>
    <row r="117" spans="1:16">
      <c r="A117" s="391">
        <v>630</v>
      </c>
      <c r="B117" s="239">
        <v>300</v>
      </c>
      <c r="C117" s="238">
        <v>100</v>
      </c>
      <c r="D117" s="238">
        <v>0</v>
      </c>
      <c r="E117" s="238">
        <v>0</v>
      </c>
      <c r="F117" s="238">
        <v>0</v>
      </c>
      <c r="G117" s="362" t="s">
        <v>3305</v>
      </c>
      <c r="H117" s="43" t="s">
        <v>314</v>
      </c>
      <c r="I117" s="47"/>
      <c r="J117" s="47"/>
      <c r="K117" s="413"/>
      <c r="L117" s="413">
        <v>0</v>
      </c>
      <c r="M117" s="413"/>
      <c r="N117" s="413">
        <f t="shared" si="3"/>
        <v>0</v>
      </c>
      <c r="O117" s="413">
        <v>0</v>
      </c>
      <c r="P117" s="413"/>
    </row>
    <row r="118" spans="1:16">
      <c r="A118" s="391">
        <v>630</v>
      </c>
      <c r="B118" s="239">
        <v>300</v>
      </c>
      <c r="C118" s="238">
        <v>100</v>
      </c>
      <c r="D118" s="238">
        <v>100</v>
      </c>
      <c r="E118" s="238">
        <v>0</v>
      </c>
      <c r="F118" s="238">
        <v>0</v>
      </c>
      <c r="G118" s="360" t="s">
        <v>3306</v>
      </c>
      <c r="H118" s="45" t="s">
        <v>222</v>
      </c>
      <c r="I118" s="47"/>
      <c r="J118" s="47"/>
      <c r="K118" s="203">
        <f t="shared" si="2"/>
        <v>542052.86</v>
      </c>
      <c r="L118" s="203">
        <v>542052.86</v>
      </c>
      <c r="M118" s="203"/>
      <c r="N118" s="203">
        <f t="shared" si="3"/>
        <v>401066.7</v>
      </c>
      <c r="O118" s="203">
        <v>401066.7</v>
      </c>
      <c r="P118" s="203"/>
    </row>
    <row r="119" spans="1:16">
      <c r="A119" s="391">
        <v>630</v>
      </c>
      <c r="B119" s="239">
        <v>300</v>
      </c>
      <c r="C119" s="238">
        <v>100</v>
      </c>
      <c r="D119" s="238">
        <v>200</v>
      </c>
      <c r="E119" s="238">
        <v>0</v>
      </c>
      <c r="F119" s="238">
        <v>0</v>
      </c>
      <c r="G119" s="360" t="s">
        <v>3307</v>
      </c>
      <c r="H119" s="45" t="s">
        <v>315</v>
      </c>
      <c r="I119" s="47"/>
      <c r="J119" s="47"/>
      <c r="K119" s="203">
        <f t="shared" si="2"/>
        <v>0</v>
      </c>
      <c r="L119" s="203">
        <v>0</v>
      </c>
      <c r="M119" s="203"/>
      <c r="N119" s="203">
        <f t="shared" si="3"/>
        <v>0</v>
      </c>
      <c r="O119" s="203">
        <v>0</v>
      </c>
      <c r="P119" s="203"/>
    </row>
    <row r="120" spans="1:16">
      <c r="A120" s="391">
        <v>630</v>
      </c>
      <c r="B120" s="239">
        <v>300</v>
      </c>
      <c r="C120" s="238">
        <v>100</v>
      </c>
      <c r="D120" s="238">
        <v>300</v>
      </c>
      <c r="E120" s="238">
        <v>0</v>
      </c>
      <c r="F120" s="238">
        <v>0</v>
      </c>
      <c r="G120" s="360" t="s">
        <v>3308</v>
      </c>
      <c r="H120" s="45" t="s">
        <v>316</v>
      </c>
      <c r="I120" s="47"/>
      <c r="J120" s="47"/>
      <c r="K120" s="203">
        <f t="shared" si="2"/>
        <v>0</v>
      </c>
      <c r="L120" s="203">
        <v>0</v>
      </c>
      <c r="M120" s="203"/>
      <c r="N120" s="203">
        <f t="shared" si="3"/>
        <v>0</v>
      </c>
      <c r="O120" s="203">
        <v>0</v>
      </c>
      <c r="P120" s="203"/>
    </row>
    <row r="121" spans="1:16">
      <c r="A121" s="391">
        <v>630</v>
      </c>
      <c r="B121" s="239">
        <v>300</v>
      </c>
      <c r="C121" s="238">
        <v>100</v>
      </c>
      <c r="D121" s="238">
        <v>400</v>
      </c>
      <c r="E121" s="238">
        <v>0</v>
      </c>
      <c r="F121" s="238">
        <v>0</v>
      </c>
      <c r="G121" s="360" t="s">
        <v>3309</v>
      </c>
      <c r="H121" s="45" t="s">
        <v>262</v>
      </c>
      <c r="I121" s="47"/>
      <c r="J121" s="47"/>
      <c r="K121" s="203">
        <f t="shared" si="2"/>
        <v>291105.5</v>
      </c>
      <c r="L121" s="203">
        <v>291105.5</v>
      </c>
      <c r="M121" s="203"/>
      <c r="N121" s="203">
        <f t="shared" si="3"/>
        <v>369454.97</v>
      </c>
      <c r="O121" s="203">
        <v>369454.97</v>
      </c>
      <c r="P121" s="203"/>
    </row>
    <row r="122" spans="1:16">
      <c r="A122" s="391">
        <v>630</v>
      </c>
      <c r="B122" s="239">
        <v>300</v>
      </c>
      <c r="C122" s="238">
        <v>100</v>
      </c>
      <c r="D122" s="238">
        <v>500</v>
      </c>
      <c r="E122" s="238">
        <v>0</v>
      </c>
      <c r="F122" s="238">
        <v>0</v>
      </c>
      <c r="G122" s="360" t="s">
        <v>3310</v>
      </c>
      <c r="H122" s="45" t="s">
        <v>317</v>
      </c>
      <c r="I122" s="47"/>
      <c r="J122" s="47"/>
      <c r="K122" s="203">
        <f t="shared" si="2"/>
        <v>0</v>
      </c>
      <c r="L122" s="203">
        <v>0</v>
      </c>
      <c r="M122" s="203"/>
      <c r="N122" s="203">
        <f t="shared" si="3"/>
        <v>0</v>
      </c>
      <c r="O122" s="203">
        <v>0</v>
      </c>
      <c r="P122" s="203"/>
    </row>
    <row r="123" spans="1:16">
      <c r="A123" s="391">
        <v>630</v>
      </c>
      <c r="B123" s="239">
        <v>300</v>
      </c>
      <c r="C123" s="238">
        <v>100</v>
      </c>
      <c r="D123" s="238">
        <v>600</v>
      </c>
      <c r="E123" s="238">
        <v>0</v>
      </c>
      <c r="F123" s="238">
        <v>0</v>
      </c>
      <c r="G123" s="360" t="s">
        <v>3311</v>
      </c>
      <c r="H123" s="45" t="s">
        <v>318</v>
      </c>
      <c r="I123" s="47"/>
      <c r="J123" s="47"/>
      <c r="K123" s="203">
        <f t="shared" si="2"/>
        <v>0</v>
      </c>
      <c r="L123" s="203">
        <v>0</v>
      </c>
      <c r="M123" s="203"/>
      <c r="N123" s="203">
        <f t="shared" si="3"/>
        <v>0</v>
      </c>
      <c r="O123" s="203">
        <v>0</v>
      </c>
      <c r="P123" s="203"/>
    </row>
    <row r="124" spans="1:16">
      <c r="A124" s="391">
        <v>630</v>
      </c>
      <c r="B124" s="239">
        <v>300</v>
      </c>
      <c r="C124" s="238">
        <v>100</v>
      </c>
      <c r="D124" s="238">
        <v>900</v>
      </c>
      <c r="E124" s="238">
        <v>0</v>
      </c>
      <c r="F124" s="238">
        <v>0</v>
      </c>
      <c r="G124" s="360" t="s">
        <v>3312</v>
      </c>
      <c r="H124" s="45" t="s">
        <v>319</v>
      </c>
      <c r="I124" s="47"/>
      <c r="J124" s="47"/>
      <c r="K124" s="203">
        <f t="shared" si="2"/>
        <v>0</v>
      </c>
      <c r="L124" s="203">
        <v>0</v>
      </c>
      <c r="M124" s="203"/>
      <c r="N124" s="203">
        <f t="shared" si="3"/>
        <v>0</v>
      </c>
      <c r="O124" s="203">
        <v>0</v>
      </c>
      <c r="P124" s="203"/>
    </row>
    <row r="125" spans="1:16">
      <c r="A125" s="391">
        <v>630</v>
      </c>
      <c r="B125" s="239">
        <v>300</v>
      </c>
      <c r="C125" s="238">
        <v>200</v>
      </c>
      <c r="D125" s="238">
        <v>0</v>
      </c>
      <c r="E125" s="238">
        <v>0</v>
      </c>
      <c r="F125" s="238">
        <v>0</v>
      </c>
      <c r="G125" s="362" t="s">
        <v>3313</v>
      </c>
      <c r="H125" s="43" t="s">
        <v>320</v>
      </c>
      <c r="I125" s="47"/>
      <c r="J125" s="47"/>
      <c r="K125" s="413"/>
      <c r="L125" s="413">
        <v>0</v>
      </c>
      <c r="M125" s="413"/>
      <c r="N125" s="413">
        <f t="shared" si="3"/>
        <v>0</v>
      </c>
      <c r="O125" s="413">
        <v>0</v>
      </c>
      <c r="P125" s="413"/>
    </row>
    <row r="126" spans="1:16">
      <c r="A126" s="391">
        <v>630</v>
      </c>
      <c r="B126" s="239">
        <v>300</v>
      </c>
      <c r="C126" s="238">
        <v>200</v>
      </c>
      <c r="D126" s="238">
        <v>50</v>
      </c>
      <c r="E126" s="238">
        <v>0</v>
      </c>
      <c r="F126" s="238">
        <v>0</v>
      </c>
      <c r="G126" s="360" t="s">
        <v>3314</v>
      </c>
      <c r="H126" s="45" t="s">
        <v>321</v>
      </c>
      <c r="I126" s="47"/>
      <c r="J126" s="47"/>
      <c r="K126" s="203">
        <f t="shared" si="2"/>
        <v>0</v>
      </c>
      <c r="L126" s="203">
        <v>0</v>
      </c>
      <c r="M126" s="203"/>
      <c r="N126" s="203">
        <f t="shared" si="3"/>
        <v>0</v>
      </c>
      <c r="O126" s="203">
        <v>0</v>
      </c>
      <c r="P126" s="203"/>
    </row>
    <row r="127" spans="1:16">
      <c r="A127" s="391">
        <v>630</v>
      </c>
      <c r="B127" s="239">
        <v>300</v>
      </c>
      <c r="C127" s="238">
        <v>200</v>
      </c>
      <c r="D127" s="238">
        <v>100</v>
      </c>
      <c r="E127" s="238">
        <v>0</v>
      </c>
      <c r="F127" s="238">
        <v>0</v>
      </c>
      <c r="G127" s="360" t="s">
        <v>3315</v>
      </c>
      <c r="H127" s="45" t="s">
        <v>322</v>
      </c>
      <c r="I127" s="47"/>
      <c r="J127" s="47"/>
      <c r="K127" s="203">
        <f t="shared" si="2"/>
        <v>0</v>
      </c>
      <c r="L127" s="203">
        <v>0</v>
      </c>
      <c r="M127" s="203"/>
      <c r="N127" s="203">
        <f t="shared" si="3"/>
        <v>0</v>
      </c>
      <c r="O127" s="203">
        <v>0</v>
      </c>
      <c r="P127" s="203"/>
    </row>
    <row r="128" spans="1:16">
      <c r="A128" s="391">
        <v>630</v>
      </c>
      <c r="B128" s="239">
        <v>300</v>
      </c>
      <c r="C128" s="238">
        <v>200</v>
      </c>
      <c r="D128" s="238">
        <v>150</v>
      </c>
      <c r="E128" s="238">
        <v>0</v>
      </c>
      <c r="F128" s="238">
        <v>0</v>
      </c>
      <c r="G128" s="360" t="s">
        <v>3316</v>
      </c>
      <c r="H128" s="45" t="s">
        <v>323</v>
      </c>
      <c r="I128" s="47"/>
      <c r="J128" s="47"/>
      <c r="K128" s="203">
        <f t="shared" si="2"/>
        <v>0</v>
      </c>
      <c r="L128" s="203">
        <v>0</v>
      </c>
      <c r="M128" s="203"/>
      <c r="N128" s="203">
        <f t="shared" si="3"/>
        <v>0</v>
      </c>
      <c r="O128" s="203">
        <v>0</v>
      </c>
      <c r="P128" s="203"/>
    </row>
    <row r="129" spans="1:16" ht="25.5">
      <c r="A129" s="391">
        <v>630</v>
      </c>
      <c r="B129" s="239">
        <v>300</v>
      </c>
      <c r="C129" s="238">
        <v>200</v>
      </c>
      <c r="D129" s="238">
        <v>200</v>
      </c>
      <c r="E129" s="238">
        <v>0</v>
      </c>
      <c r="F129" s="238">
        <v>0</v>
      </c>
      <c r="G129" s="360" t="s">
        <v>3317</v>
      </c>
      <c r="H129" s="45" t="s">
        <v>324</v>
      </c>
      <c r="I129" s="47"/>
      <c r="J129" s="47"/>
      <c r="K129" s="203">
        <f t="shared" si="2"/>
        <v>0</v>
      </c>
      <c r="L129" s="203">
        <v>0</v>
      </c>
      <c r="M129" s="203"/>
      <c r="N129" s="203">
        <f t="shared" si="3"/>
        <v>0</v>
      </c>
      <c r="O129" s="203">
        <v>0</v>
      </c>
      <c r="P129" s="203"/>
    </row>
    <row r="130" spans="1:16">
      <c r="A130" s="391">
        <v>630</v>
      </c>
      <c r="B130" s="239">
        <v>300</v>
      </c>
      <c r="C130" s="238">
        <v>200</v>
      </c>
      <c r="D130" s="238">
        <v>250</v>
      </c>
      <c r="E130" s="238">
        <v>0</v>
      </c>
      <c r="F130" s="238">
        <v>0</v>
      </c>
      <c r="G130" s="360" t="s">
        <v>3318</v>
      </c>
      <c r="H130" s="45" t="s">
        <v>325</v>
      </c>
      <c r="I130" s="47"/>
      <c r="J130" s="47"/>
      <c r="K130" s="203">
        <f t="shared" si="2"/>
        <v>0</v>
      </c>
      <c r="L130" s="203">
        <v>0</v>
      </c>
      <c r="M130" s="203"/>
      <c r="N130" s="203">
        <f t="shared" si="3"/>
        <v>0</v>
      </c>
      <c r="O130" s="203">
        <v>0</v>
      </c>
      <c r="P130" s="203"/>
    </row>
    <row r="131" spans="1:16">
      <c r="A131" s="391">
        <v>630</v>
      </c>
      <c r="B131" s="239">
        <v>300</v>
      </c>
      <c r="C131" s="238">
        <v>200</v>
      </c>
      <c r="D131" s="238">
        <v>300</v>
      </c>
      <c r="E131" s="238">
        <v>0</v>
      </c>
      <c r="F131" s="238">
        <v>0</v>
      </c>
      <c r="G131" s="360" t="s">
        <v>3319</v>
      </c>
      <c r="H131" s="45" t="s">
        <v>326</v>
      </c>
      <c r="I131" s="47"/>
      <c r="J131" s="47"/>
      <c r="K131" s="203">
        <f t="shared" si="2"/>
        <v>0</v>
      </c>
      <c r="L131" s="203">
        <v>0</v>
      </c>
      <c r="M131" s="203"/>
      <c r="N131" s="203">
        <f t="shared" si="3"/>
        <v>0</v>
      </c>
      <c r="O131" s="203">
        <v>0</v>
      </c>
      <c r="P131" s="203"/>
    </row>
    <row r="132" spans="1:16">
      <c r="A132" s="391">
        <v>630</v>
      </c>
      <c r="B132" s="239">
        <v>300</v>
      </c>
      <c r="C132" s="238">
        <v>200</v>
      </c>
      <c r="D132" s="238">
        <v>350</v>
      </c>
      <c r="E132" s="238">
        <v>0</v>
      </c>
      <c r="F132" s="238">
        <v>0</v>
      </c>
      <c r="G132" s="360" t="s">
        <v>3320</v>
      </c>
      <c r="H132" s="45" t="s">
        <v>327</v>
      </c>
      <c r="I132" s="47"/>
      <c r="J132" s="47"/>
      <c r="K132" s="203">
        <f t="shared" si="2"/>
        <v>0</v>
      </c>
      <c r="L132" s="203">
        <v>0</v>
      </c>
      <c r="M132" s="203"/>
      <c r="N132" s="203">
        <f t="shared" si="3"/>
        <v>0</v>
      </c>
      <c r="O132" s="203">
        <v>0</v>
      </c>
      <c r="P132" s="203"/>
    </row>
    <row r="133" spans="1:16" ht="25.5">
      <c r="A133" s="391">
        <v>630</v>
      </c>
      <c r="B133" s="239">
        <v>300</v>
      </c>
      <c r="C133" s="238">
        <v>200</v>
      </c>
      <c r="D133" s="238">
        <v>400</v>
      </c>
      <c r="E133" s="238">
        <v>0</v>
      </c>
      <c r="F133" s="238">
        <v>0</v>
      </c>
      <c r="G133" s="360" t="s">
        <v>3321</v>
      </c>
      <c r="H133" s="45" t="s">
        <v>328</v>
      </c>
      <c r="I133" s="47"/>
      <c r="J133" s="47"/>
      <c r="K133" s="203">
        <f t="shared" si="2"/>
        <v>0</v>
      </c>
      <c r="L133" s="203">
        <v>0</v>
      </c>
      <c r="M133" s="203"/>
      <c r="N133" s="203">
        <f t="shared" si="3"/>
        <v>0</v>
      </c>
      <c r="O133" s="203">
        <v>0</v>
      </c>
      <c r="P133" s="203"/>
    </row>
    <row r="134" spans="1:16">
      <c r="A134" s="391">
        <v>630</v>
      </c>
      <c r="B134" s="239">
        <v>300</v>
      </c>
      <c r="C134" s="238">
        <v>200</v>
      </c>
      <c r="D134" s="238">
        <v>450</v>
      </c>
      <c r="E134" s="238">
        <v>0</v>
      </c>
      <c r="F134" s="238">
        <v>0</v>
      </c>
      <c r="G134" s="360" t="s">
        <v>3322</v>
      </c>
      <c r="H134" s="45" t="s">
        <v>329</v>
      </c>
      <c r="I134" s="47"/>
      <c r="J134" s="47"/>
      <c r="K134" s="203">
        <f t="shared" si="2"/>
        <v>0</v>
      </c>
      <c r="L134" s="203">
        <v>0</v>
      </c>
      <c r="M134" s="203"/>
      <c r="N134" s="203">
        <f t="shared" si="3"/>
        <v>0</v>
      </c>
      <c r="O134" s="203">
        <v>0</v>
      </c>
      <c r="P134" s="203"/>
    </row>
    <row r="135" spans="1:16">
      <c r="A135" s="391">
        <v>630</v>
      </c>
      <c r="B135" s="239">
        <v>300</v>
      </c>
      <c r="C135" s="238">
        <v>200</v>
      </c>
      <c r="D135" s="238">
        <v>500</v>
      </c>
      <c r="E135" s="238">
        <v>0</v>
      </c>
      <c r="F135" s="238">
        <v>0</v>
      </c>
      <c r="G135" s="360" t="s">
        <v>3323</v>
      </c>
      <c r="H135" s="45" t="s">
        <v>330</v>
      </c>
      <c r="I135" s="47"/>
      <c r="J135" s="47"/>
      <c r="K135" s="203">
        <f t="shared" ref="K135:K198" si="4">+L135+M135</f>
        <v>0</v>
      </c>
      <c r="L135" s="203">
        <v>0</v>
      </c>
      <c r="M135" s="203"/>
      <c r="N135" s="203">
        <f t="shared" ref="N135:N198" si="5">+O135+P135</f>
        <v>0</v>
      </c>
      <c r="O135" s="203">
        <v>0</v>
      </c>
      <c r="P135" s="203"/>
    </row>
    <row r="136" spans="1:16">
      <c r="A136" s="391">
        <v>630</v>
      </c>
      <c r="B136" s="239">
        <v>300</v>
      </c>
      <c r="C136" s="238">
        <v>200</v>
      </c>
      <c r="D136" s="238">
        <v>550</v>
      </c>
      <c r="E136" s="238">
        <v>0</v>
      </c>
      <c r="F136" s="238">
        <v>0</v>
      </c>
      <c r="G136" s="360" t="s">
        <v>3324</v>
      </c>
      <c r="H136" s="45" t="s">
        <v>331</v>
      </c>
      <c r="I136" s="47"/>
      <c r="J136" s="47"/>
      <c r="K136" s="203">
        <f t="shared" si="4"/>
        <v>0</v>
      </c>
      <c r="L136" s="203">
        <v>0</v>
      </c>
      <c r="M136" s="203"/>
      <c r="N136" s="203">
        <f t="shared" si="5"/>
        <v>0</v>
      </c>
      <c r="O136" s="203">
        <v>0</v>
      </c>
      <c r="P136" s="203"/>
    </row>
    <row r="137" spans="1:16">
      <c r="A137" s="391">
        <v>630</v>
      </c>
      <c r="B137" s="239">
        <v>300</v>
      </c>
      <c r="C137" s="238">
        <v>200</v>
      </c>
      <c r="D137" s="238">
        <v>600</v>
      </c>
      <c r="E137" s="238">
        <v>0</v>
      </c>
      <c r="F137" s="238">
        <v>0</v>
      </c>
      <c r="G137" s="360" t="s">
        <v>3325</v>
      </c>
      <c r="H137" s="45" t="s">
        <v>332</v>
      </c>
      <c r="I137" s="47"/>
      <c r="J137" s="47"/>
      <c r="K137" s="203">
        <f t="shared" si="4"/>
        <v>0</v>
      </c>
      <c r="L137" s="203">
        <v>0</v>
      </c>
      <c r="M137" s="203"/>
      <c r="N137" s="203">
        <f t="shared" si="5"/>
        <v>0</v>
      </c>
      <c r="O137" s="203">
        <v>0</v>
      </c>
      <c r="P137" s="203"/>
    </row>
    <row r="138" spans="1:16">
      <c r="A138" s="391">
        <v>630</v>
      </c>
      <c r="B138" s="239">
        <v>300</v>
      </c>
      <c r="C138" s="238">
        <v>200</v>
      </c>
      <c r="D138" s="238">
        <v>650</v>
      </c>
      <c r="E138" s="238">
        <v>0</v>
      </c>
      <c r="F138" s="238">
        <v>0</v>
      </c>
      <c r="G138" s="360" t="s">
        <v>3326</v>
      </c>
      <c r="H138" s="45" t="s">
        <v>333</v>
      </c>
      <c r="I138" s="47"/>
      <c r="J138" s="47"/>
      <c r="K138" s="203">
        <f t="shared" si="4"/>
        <v>0</v>
      </c>
      <c r="L138" s="203">
        <v>0</v>
      </c>
      <c r="M138" s="203"/>
      <c r="N138" s="203">
        <f t="shared" si="5"/>
        <v>0</v>
      </c>
      <c r="O138" s="203">
        <v>0</v>
      </c>
      <c r="P138" s="203"/>
    </row>
    <row r="139" spans="1:16" ht="25.5">
      <c r="A139" s="391">
        <v>630</v>
      </c>
      <c r="B139" s="239">
        <v>300</v>
      </c>
      <c r="C139" s="238">
        <v>200</v>
      </c>
      <c r="D139" s="238">
        <v>700</v>
      </c>
      <c r="E139" s="238">
        <v>0</v>
      </c>
      <c r="F139" s="238">
        <v>0</v>
      </c>
      <c r="G139" s="360" t="s">
        <v>3327</v>
      </c>
      <c r="H139" s="45" t="s">
        <v>334</v>
      </c>
      <c r="I139" s="47"/>
      <c r="J139" s="47"/>
      <c r="K139" s="203">
        <f t="shared" si="4"/>
        <v>0</v>
      </c>
      <c r="L139" s="203">
        <v>0</v>
      </c>
      <c r="M139" s="203"/>
      <c r="N139" s="203">
        <f t="shared" si="5"/>
        <v>0</v>
      </c>
      <c r="O139" s="203">
        <v>0</v>
      </c>
      <c r="P139" s="203"/>
    </row>
    <row r="140" spans="1:16" ht="25.5">
      <c r="A140" s="391">
        <v>630</v>
      </c>
      <c r="B140" s="239">
        <v>300</v>
      </c>
      <c r="C140" s="238">
        <v>200</v>
      </c>
      <c r="D140" s="238">
        <v>750</v>
      </c>
      <c r="E140" s="238">
        <v>0</v>
      </c>
      <c r="F140" s="238">
        <v>0</v>
      </c>
      <c r="G140" s="362" t="s">
        <v>3328</v>
      </c>
      <c r="H140" s="43" t="s">
        <v>335</v>
      </c>
      <c r="I140" s="47"/>
      <c r="J140" s="47"/>
      <c r="K140" s="413"/>
      <c r="L140" s="413">
        <v>0</v>
      </c>
      <c r="M140" s="413"/>
      <c r="N140" s="413">
        <f t="shared" si="5"/>
        <v>0</v>
      </c>
      <c r="O140" s="413">
        <v>0</v>
      </c>
      <c r="P140" s="413"/>
    </row>
    <row r="141" spans="1:16">
      <c r="A141" s="391">
        <v>630</v>
      </c>
      <c r="B141" s="239">
        <v>300</v>
      </c>
      <c r="C141" s="238">
        <v>200</v>
      </c>
      <c r="D141" s="238">
        <v>750</v>
      </c>
      <c r="E141" s="238">
        <v>10</v>
      </c>
      <c r="F141" s="238">
        <v>0</v>
      </c>
      <c r="G141" s="360" t="s">
        <v>3329</v>
      </c>
      <c r="H141" s="45" t="s">
        <v>336</v>
      </c>
      <c r="I141" s="47"/>
      <c r="J141" s="47"/>
      <c r="K141" s="203">
        <f t="shared" si="4"/>
        <v>0</v>
      </c>
      <c r="L141" s="203">
        <v>0</v>
      </c>
      <c r="M141" s="203"/>
      <c r="N141" s="203">
        <f t="shared" si="5"/>
        <v>0</v>
      </c>
      <c r="O141" s="203">
        <v>0</v>
      </c>
      <c r="P141" s="203"/>
    </row>
    <row r="142" spans="1:16">
      <c r="A142" s="391">
        <v>630</v>
      </c>
      <c r="B142" s="239">
        <v>300</v>
      </c>
      <c r="C142" s="238">
        <v>200</v>
      </c>
      <c r="D142" s="238">
        <v>750</v>
      </c>
      <c r="E142" s="238">
        <v>20</v>
      </c>
      <c r="F142" s="238">
        <v>0</v>
      </c>
      <c r="G142" s="360" t="s">
        <v>3330</v>
      </c>
      <c r="H142" s="45" t="s">
        <v>337</v>
      </c>
      <c r="I142" s="47"/>
      <c r="J142" s="47"/>
      <c r="K142" s="203">
        <f t="shared" si="4"/>
        <v>0</v>
      </c>
      <c r="L142" s="203">
        <v>0</v>
      </c>
      <c r="M142" s="203"/>
      <c r="N142" s="203">
        <f t="shared" si="5"/>
        <v>0</v>
      </c>
      <c r="O142" s="203">
        <v>0</v>
      </c>
      <c r="P142" s="203"/>
    </row>
    <row r="143" spans="1:16">
      <c r="A143" s="391">
        <v>630</v>
      </c>
      <c r="B143" s="239">
        <v>300</v>
      </c>
      <c r="C143" s="238">
        <v>200</v>
      </c>
      <c r="D143" s="238">
        <v>900</v>
      </c>
      <c r="E143" s="238">
        <v>0</v>
      </c>
      <c r="F143" s="238">
        <v>0</v>
      </c>
      <c r="G143" s="360" t="s">
        <v>3331</v>
      </c>
      <c r="H143" s="45" t="s">
        <v>338</v>
      </c>
      <c r="I143" s="47"/>
      <c r="J143" s="47"/>
      <c r="K143" s="203">
        <f t="shared" si="4"/>
        <v>0</v>
      </c>
      <c r="L143" s="203">
        <v>0</v>
      </c>
      <c r="M143" s="203"/>
      <c r="N143" s="203">
        <f t="shared" si="5"/>
        <v>0</v>
      </c>
      <c r="O143" s="203">
        <v>0</v>
      </c>
      <c r="P143" s="203"/>
    </row>
    <row r="144" spans="1:16">
      <c r="A144" s="391">
        <v>630</v>
      </c>
      <c r="B144" s="239">
        <v>300</v>
      </c>
      <c r="C144" s="238">
        <v>300</v>
      </c>
      <c r="D144" s="238">
        <v>0</v>
      </c>
      <c r="E144" s="238">
        <v>0</v>
      </c>
      <c r="F144" s="238">
        <v>0</v>
      </c>
      <c r="G144" s="360" t="s">
        <v>3332</v>
      </c>
      <c r="H144" s="45" t="s">
        <v>339</v>
      </c>
      <c r="I144" s="47"/>
      <c r="J144" s="47"/>
      <c r="K144" s="203">
        <f t="shared" si="4"/>
        <v>0</v>
      </c>
      <c r="L144" s="203">
        <v>0</v>
      </c>
      <c r="M144" s="203"/>
      <c r="N144" s="203">
        <f t="shared" si="5"/>
        <v>0</v>
      </c>
      <c r="O144" s="203">
        <v>0</v>
      </c>
      <c r="P144" s="203"/>
    </row>
    <row r="145" spans="1:16">
      <c r="A145" s="391">
        <v>630</v>
      </c>
      <c r="B145" s="239">
        <v>300</v>
      </c>
      <c r="C145" s="238">
        <v>400</v>
      </c>
      <c r="D145" s="238">
        <v>0</v>
      </c>
      <c r="E145" s="238">
        <v>0</v>
      </c>
      <c r="F145" s="238">
        <v>0</v>
      </c>
      <c r="G145" s="360" t="s">
        <v>3333</v>
      </c>
      <c r="H145" s="45" t="s">
        <v>340</v>
      </c>
      <c r="I145" s="47"/>
      <c r="J145" s="47"/>
      <c r="K145" s="203">
        <f t="shared" si="4"/>
        <v>1293.55</v>
      </c>
      <c r="L145" s="203">
        <v>1293.55</v>
      </c>
      <c r="M145" s="203"/>
      <c r="N145" s="203">
        <f t="shared" si="5"/>
        <v>5303.82</v>
      </c>
      <c r="O145" s="203">
        <v>5303.82</v>
      </c>
      <c r="P145" s="203"/>
    </row>
    <row r="146" spans="1:16" ht="25.5">
      <c r="A146" s="391">
        <v>630</v>
      </c>
      <c r="B146" s="239">
        <v>300</v>
      </c>
      <c r="C146" s="238">
        <v>500</v>
      </c>
      <c r="D146" s="238">
        <v>0</v>
      </c>
      <c r="E146" s="238">
        <v>0</v>
      </c>
      <c r="F146" s="238">
        <v>0</v>
      </c>
      <c r="G146" s="360" t="s">
        <v>3334</v>
      </c>
      <c r="H146" s="45" t="s">
        <v>341</v>
      </c>
      <c r="I146" s="47"/>
      <c r="J146" s="47"/>
      <c r="K146" s="203">
        <f t="shared" si="4"/>
        <v>11679.62</v>
      </c>
      <c r="L146" s="203">
        <v>11679.62</v>
      </c>
      <c r="M146" s="203"/>
      <c r="N146" s="203">
        <f t="shared" si="5"/>
        <v>12516.34</v>
      </c>
      <c r="O146" s="203">
        <v>12516.34</v>
      </c>
      <c r="P146" s="203"/>
    </row>
    <row r="147" spans="1:16">
      <c r="A147" s="391">
        <v>630</v>
      </c>
      <c r="B147" s="239">
        <v>300</v>
      </c>
      <c r="C147" s="238">
        <v>600</v>
      </c>
      <c r="D147" s="238">
        <v>0</v>
      </c>
      <c r="E147" s="238">
        <v>0</v>
      </c>
      <c r="F147" s="238">
        <v>0</v>
      </c>
      <c r="G147" s="360" t="s">
        <v>3335</v>
      </c>
      <c r="H147" s="45" t="s">
        <v>342</v>
      </c>
      <c r="I147" s="47"/>
      <c r="J147" s="47"/>
      <c r="K147" s="203">
        <f t="shared" si="4"/>
        <v>0</v>
      </c>
      <c r="L147" s="203">
        <v>0</v>
      </c>
      <c r="M147" s="203"/>
      <c r="N147" s="203">
        <f t="shared" si="5"/>
        <v>0</v>
      </c>
      <c r="O147" s="203">
        <v>0</v>
      </c>
      <c r="P147" s="203"/>
    </row>
    <row r="148" spans="1:16">
      <c r="A148" s="391">
        <v>630</v>
      </c>
      <c r="B148" s="239">
        <v>300</v>
      </c>
      <c r="C148" s="238">
        <v>700</v>
      </c>
      <c r="D148" s="238">
        <v>0</v>
      </c>
      <c r="E148" s="238">
        <v>0</v>
      </c>
      <c r="F148" s="238">
        <v>0</v>
      </c>
      <c r="G148" s="360" t="s">
        <v>3336</v>
      </c>
      <c r="H148" s="45" t="s">
        <v>343</v>
      </c>
      <c r="I148" s="47"/>
      <c r="J148" s="47"/>
      <c r="K148" s="203">
        <f t="shared" si="4"/>
        <v>211965.68</v>
      </c>
      <c r="L148" s="203">
        <v>211965.68</v>
      </c>
      <c r="M148" s="203"/>
      <c r="N148" s="203">
        <f t="shared" si="5"/>
        <v>131833.47</v>
      </c>
      <c r="O148" s="203">
        <v>131833.47</v>
      </c>
      <c r="P148" s="203"/>
    </row>
    <row r="149" spans="1:16">
      <c r="A149" s="391">
        <v>630</v>
      </c>
      <c r="B149" s="239">
        <v>300</v>
      </c>
      <c r="C149" s="238">
        <v>800</v>
      </c>
      <c r="D149" s="238">
        <v>0</v>
      </c>
      <c r="E149" s="238">
        <v>0</v>
      </c>
      <c r="F149" s="238">
        <v>0</v>
      </c>
      <c r="G149" s="360" t="s">
        <v>3337</v>
      </c>
      <c r="H149" s="45" t="s">
        <v>344</v>
      </c>
      <c r="I149" s="47"/>
      <c r="J149" s="47"/>
      <c r="K149" s="203">
        <f t="shared" si="4"/>
        <v>0</v>
      </c>
      <c r="L149" s="203">
        <v>0</v>
      </c>
      <c r="M149" s="203"/>
      <c r="N149" s="203">
        <f t="shared" si="5"/>
        <v>0</v>
      </c>
      <c r="O149" s="203">
        <v>0</v>
      </c>
      <c r="P149" s="203"/>
    </row>
    <row r="150" spans="1:16">
      <c r="A150" s="391">
        <v>630</v>
      </c>
      <c r="B150" s="239">
        <v>300</v>
      </c>
      <c r="C150" s="238">
        <v>900</v>
      </c>
      <c r="D150" s="238">
        <v>0</v>
      </c>
      <c r="E150" s="238">
        <v>0</v>
      </c>
      <c r="F150" s="238">
        <v>0</v>
      </c>
      <c r="G150" s="362" t="s">
        <v>3338</v>
      </c>
      <c r="H150" s="43" t="s">
        <v>345</v>
      </c>
      <c r="I150" s="47"/>
      <c r="J150" s="47"/>
      <c r="K150" s="413"/>
      <c r="L150" s="413">
        <v>0</v>
      </c>
      <c r="M150" s="413"/>
      <c r="N150" s="413">
        <f t="shared" si="5"/>
        <v>0</v>
      </c>
      <c r="O150" s="413">
        <v>0</v>
      </c>
      <c r="P150" s="413"/>
    </row>
    <row r="151" spans="1:16">
      <c r="A151" s="391">
        <v>630</v>
      </c>
      <c r="B151" s="239">
        <v>300</v>
      </c>
      <c r="C151" s="238">
        <v>900</v>
      </c>
      <c r="D151" s="238">
        <v>100</v>
      </c>
      <c r="E151" s="238">
        <v>0</v>
      </c>
      <c r="F151" s="238">
        <v>0</v>
      </c>
      <c r="G151" s="360" t="s">
        <v>3339</v>
      </c>
      <c r="H151" s="45" t="s">
        <v>346</v>
      </c>
      <c r="I151" s="47"/>
      <c r="J151" s="47"/>
      <c r="K151" s="203">
        <f t="shared" si="4"/>
        <v>0</v>
      </c>
      <c r="L151" s="203">
        <v>0</v>
      </c>
      <c r="M151" s="203"/>
      <c r="N151" s="203">
        <f t="shared" si="5"/>
        <v>0</v>
      </c>
      <c r="O151" s="203">
        <v>0</v>
      </c>
      <c r="P151" s="203"/>
    </row>
    <row r="152" spans="1:16">
      <c r="A152" s="391">
        <v>630</v>
      </c>
      <c r="B152" s="239">
        <v>300</v>
      </c>
      <c r="C152" s="238">
        <v>900</v>
      </c>
      <c r="D152" s="238">
        <v>900</v>
      </c>
      <c r="E152" s="238">
        <v>0</v>
      </c>
      <c r="F152" s="238">
        <v>0</v>
      </c>
      <c r="G152" s="360" t="s">
        <v>3340</v>
      </c>
      <c r="H152" s="45" t="s">
        <v>347</v>
      </c>
      <c r="I152" s="47"/>
      <c r="J152" s="47"/>
      <c r="K152" s="203">
        <f t="shared" si="4"/>
        <v>19040.8</v>
      </c>
      <c r="L152" s="203">
        <v>19040.8</v>
      </c>
      <c r="M152" s="203"/>
      <c r="N152" s="203">
        <f t="shared" si="5"/>
        <v>26458.76</v>
      </c>
      <c r="O152" s="203">
        <v>26458.76</v>
      </c>
      <c r="P152" s="203"/>
    </row>
    <row r="153" spans="1:16" ht="25.5">
      <c r="A153" s="391">
        <v>630</v>
      </c>
      <c r="B153" s="239">
        <v>400</v>
      </c>
      <c r="C153" s="238">
        <v>0</v>
      </c>
      <c r="D153" s="239">
        <v>0</v>
      </c>
      <c r="E153" s="239">
        <v>0</v>
      </c>
      <c r="F153" s="239">
        <v>0</v>
      </c>
      <c r="G153" s="359" t="s">
        <v>3341</v>
      </c>
      <c r="H153" s="43" t="s">
        <v>348</v>
      </c>
      <c r="I153" s="44"/>
      <c r="J153" s="44"/>
      <c r="K153" s="413"/>
      <c r="L153" s="413">
        <v>0</v>
      </c>
      <c r="M153" s="413"/>
      <c r="N153" s="413">
        <f t="shared" si="5"/>
        <v>0</v>
      </c>
      <c r="O153" s="413">
        <v>0</v>
      </c>
      <c r="P153" s="413"/>
    </row>
    <row r="154" spans="1:16" ht="25.5">
      <c r="A154" s="391">
        <v>630</v>
      </c>
      <c r="B154" s="239">
        <v>400</v>
      </c>
      <c r="C154" s="239">
        <v>100</v>
      </c>
      <c r="D154" s="239">
        <v>0</v>
      </c>
      <c r="E154" s="239">
        <v>0</v>
      </c>
      <c r="F154" s="239">
        <v>0</v>
      </c>
      <c r="G154" s="361" t="s">
        <v>3342</v>
      </c>
      <c r="H154" s="45" t="s">
        <v>349</v>
      </c>
      <c r="I154" s="44" t="s">
        <v>350</v>
      </c>
      <c r="J154" s="44"/>
      <c r="K154" s="203">
        <f t="shared" si="4"/>
        <v>108109.42</v>
      </c>
      <c r="L154" s="203">
        <v>108109.42</v>
      </c>
      <c r="M154" s="203"/>
      <c r="N154" s="203">
        <f t="shared" si="5"/>
        <v>39430.300000000003</v>
      </c>
      <c r="O154" s="203">
        <v>39430.300000000003</v>
      </c>
      <c r="P154" s="203"/>
    </row>
    <row r="155" spans="1:16" ht="25.5">
      <c r="A155" s="391">
        <v>630</v>
      </c>
      <c r="B155" s="239">
        <v>400</v>
      </c>
      <c r="C155" s="239">
        <v>200</v>
      </c>
      <c r="D155" s="239">
        <v>0</v>
      </c>
      <c r="E155" s="239">
        <v>0</v>
      </c>
      <c r="F155" s="239">
        <v>0</v>
      </c>
      <c r="G155" s="361" t="s">
        <v>3343</v>
      </c>
      <c r="H155" s="45" t="s">
        <v>351</v>
      </c>
      <c r="I155" s="44" t="s">
        <v>352</v>
      </c>
      <c r="J155" s="44"/>
      <c r="K155" s="203">
        <f t="shared" si="4"/>
        <v>905814.41</v>
      </c>
      <c r="L155" s="203">
        <v>905814.41</v>
      </c>
      <c r="M155" s="203"/>
      <c r="N155" s="203">
        <f t="shared" si="5"/>
        <v>871053.4</v>
      </c>
      <c r="O155" s="203">
        <v>871053.4</v>
      </c>
      <c r="P155" s="203"/>
    </row>
    <row r="156" spans="1:16" ht="25.5">
      <c r="A156" s="391">
        <v>630</v>
      </c>
      <c r="B156" s="239">
        <v>400</v>
      </c>
      <c r="C156" s="239">
        <v>300</v>
      </c>
      <c r="D156" s="239">
        <v>0</v>
      </c>
      <c r="E156" s="239">
        <v>0</v>
      </c>
      <c r="F156" s="239">
        <v>0</v>
      </c>
      <c r="G156" s="361" t="s">
        <v>3344</v>
      </c>
      <c r="H156" s="45" t="s">
        <v>353</v>
      </c>
      <c r="I156" s="44" t="s">
        <v>354</v>
      </c>
      <c r="J156" s="44"/>
      <c r="K156" s="203">
        <f t="shared" si="4"/>
        <v>0</v>
      </c>
      <c r="L156" s="203">
        <v>0</v>
      </c>
      <c r="M156" s="203"/>
      <c r="N156" s="203">
        <f t="shared" si="5"/>
        <v>0</v>
      </c>
      <c r="O156" s="203">
        <v>0</v>
      </c>
      <c r="P156" s="203"/>
    </row>
    <row r="157" spans="1:16" ht="38.25">
      <c r="A157" s="391">
        <v>630</v>
      </c>
      <c r="B157" s="239">
        <v>400</v>
      </c>
      <c r="C157" s="239">
        <v>400</v>
      </c>
      <c r="D157" s="239">
        <v>0</v>
      </c>
      <c r="E157" s="239">
        <v>0</v>
      </c>
      <c r="F157" s="239">
        <v>0</v>
      </c>
      <c r="G157" s="361" t="s">
        <v>3345</v>
      </c>
      <c r="H157" s="45" t="s">
        <v>355</v>
      </c>
      <c r="I157" s="44" t="s">
        <v>356</v>
      </c>
      <c r="J157" s="44"/>
      <c r="K157" s="203">
        <f t="shared" si="4"/>
        <v>248871.94</v>
      </c>
      <c r="L157" s="203">
        <v>248871.94</v>
      </c>
      <c r="M157" s="203"/>
      <c r="N157" s="203">
        <f t="shared" si="5"/>
        <v>249442.65</v>
      </c>
      <c r="O157" s="203">
        <v>249442.65</v>
      </c>
      <c r="P157" s="203"/>
    </row>
    <row r="158" spans="1:16" ht="38.25">
      <c r="A158" s="391">
        <v>630</v>
      </c>
      <c r="B158" s="239">
        <v>400</v>
      </c>
      <c r="C158" s="239">
        <v>500</v>
      </c>
      <c r="D158" s="239">
        <v>0</v>
      </c>
      <c r="E158" s="239">
        <v>0</v>
      </c>
      <c r="F158" s="239">
        <v>0</v>
      </c>
      <c r="G158" s="361" t="s">
        <v>3346</v>
      </c>
      <c r="H158" s="45" t="s">
        <v>357</v>
      </c>
      <c r="I158" s="44" t="s">
        <v>358</v>
      </c>
      <c r="J158" s="44" t="s">
        <v>1529</v>
      </c>
      <c r="K158" s="203">
        <f t="shared" si="4"/>
        <v>13134.08</v>
      </c>
      <c r="L158" s="203">
        <v>13134.08</v>
      </c>
      <c r="M158" s="203"/>
      <c r="N158" s="203">
        <f t="shared" si="5"/>
        <v>52456.59</v>
      </c>
      <c r="O158" s="203">
        <v>52456.59</v>
      </c>
      <c r="P158" s="203"/>
    </row>
    <row r="159" spans="1:16">
      <c r="A159" s="391">
        <v>630</v>
      </c>
      <c r="B159" s="239">
        <v>400</v>
      </c>
      <c r="C159" s="239">
        <v>600</v>
      </c>
      <c r="D159" s="239">
        <v>0</v>
      </c>
      <c r="E159" s="239">
        <v>0</v>
      </c>
      <c r="F159" s="239">
        <v>0</v>
      </c>
      <c r="G159" s="361" t="s">
        <v>3347</v>
      </c>
      <c r="H159" s="45" t="s">
        <v>359</v>
      </c>
      <c r="I159" s="44" t="s">
        <v>360</v>
      </c>
      <c r="J159" s="44"/>
      <c r="K159" s="203">
        <f t="shared" si="4"/>
        <v>0</v>
      </c>
      <c r="L159" s="203">
        <v>0</v>
      </c>
      <c r="M159" s="203"/>
      <c r="N159" s="203">
        <f t="shared" si="5"/>
        <v>0</v>
      </c>
      <c r="O159" s="203">
        <v>0</v>
      </c>
      <c r="P159" s="203"/>
    </row>
    <row r="160" spans="1:16" ht="25.5">
      <c r="A160" s="391">
        <v>630</v>
      </c>
      <c r="B160" s="239">
        <v>400</v>
      </c>
      <c r="C160" s="239">
        <v>700</v>
      </c>
      <c r="D160" s="239">
        <v>0</v>
      </c>
      <c r="E160" s="239">
        <v>0</v>
      </c>
      <c r="F160" s="239">
        <v>0</v>
      </c>
      <c r="G160" s="361" t="s">
        <v>3348</v>
      </c>
      <c r="H160" s="45" t="s">
        <v>361</v>
      </c>
      <c r="I160" s="44" t="s">
        <v>362</v>
      </c>
      <c r="J160" s="44" t="s">
        <v>1529</v>
      </c>
      <c r="K160" s="203">
        <f t="shared" si="4"/>
        <v>0</v>
      </c>
      <c r="L160" s="203">
        <v>0</v>
      </c>
      <c r="M160" s="203"/>
      <c r="N160" s="203">
        <f t="shared" si="5"/>
        <v>4982</v>
      </c>
      <c r="O160" s="203">
        <v>4982</v>
      </c>
      <c r="P160" s="203"/>
    </row>
    <row r="161" spans="1:16">
      <c r="A161" s="236">
        <v>640</v>
      </c>
      <c r="B161" s="237">
        <v>0</v>
      </c>
      <c r="C161" s="237">
        <v>0</v>
      </c>
      <c r="D161" s="237">
        <v>0</v>
      </c>
      <c r="E161" s="237">
        <v>0</v>
      </c>
      <c r="F161" s="237">
        <v>0</v>
      </c>
      <c r="G161" s="358">
        <v>640</v>
      </c>
      <c r="H161" s="41" t="s">
        <v>363</v>
      </c>
      <c r="I161" s="42"/>
      <c r="J161" s="42"/>
      <c r="K161" s="205"/>
      <c r="L161" s="205">
        <v>0</v>
      </c>
      <c r="M161" s="205"/>
      <c r="N161" s="205">
        <f t="shared" si="5"/>
        <v>0</v>
      </c>
      <c r="O161" s="205">
        <v>0</v>
      </c>
      <c r="P161" s="205"/>
    </row>
    <row r="162" spans="1:16">
      <c r="A162" s="391">
        <v>640</v>
      </c>
      <c r="B162" s="239">
        <v>100</v>
      </c>
      <c r="C162" s="239">
        <v>0</v>
      </c>
      <c r="D162" s="239">
        <v>0</v>
      </c>
      <c r="E162" s="239">
        <v>0</v>
      </c>
      <c r="F162" s="239">
        <v>0</v>
      </c>
      <c r="G162" s="361" t="s">
        <v>3349</v>
      </c>
      <c r="H162" s="45" t="s">
        <v>364</v>
      </c>
      <c r="I162" s="44" t="s">
        <v>365</v>
      </c>
      <c r="J162" s="44"/>
      <c r="K162" s="203">
        <f t="shared" si="4"/>
        <v>14459.57</v>
      </c>
      <c r="L162" s="203">
        <v>14459.57</v>
      </c>
      <c r="M162" s="203"/>
      <c r="N162" s="203">
        <f t="shared" si="5"/>
        <v>2538.8000000000002</v>
      </c>
      <c r="O162" s="203">
        <v>2538.8000000000002</v>
      </c>
      <c r="P162" s="203"/>
    </row>
    <row r="163" spans="1:16">
      <c r="A163" s="391">
        <v>640</v>
      </c>
      <c r="B163" s="239">
        <v>200</v>
      </c>
      <c r="C163" s="239">
        <v>0</v>
      </c>
      <c r="D163" s="239">
        <v>0</v>
      </c>
      <c r="E163" s="239">
        <v>0</v>
      </c>
      <c r="F163" s="239">
        <v>0</v>
      </c>
      <c r="G163" s="359" t="s">
        <v>3350</v>
      </c>
      <c r="H163" s="43" t="s">
        <v>366</v>
      </c>
      <c r="I163" s="44"/>
      <c r="J163" s="44"/>
      <c r="K163" s="413"/>
      <c r="L163" s="413">
        <v>0</v>
      </c>
      <c r="M163" s="413"/>
      <c r="N163" s="413">
        <f t="shared" si="5"/>
        <v>0</v>
      </c>
      <c r="O163" s="413">
        <v>0</v>
      </c>
      <c r="P163" s="413"/>
    </row>
    <row r="164" spans="1:16" ht="38.25">
      <c r="A164" s="391">
        <v>640</v>
      </c>
      <c r="B164" s="239">
        <v>200</v>
      </c>
      <c r="C164" s="239">
        <v>100</v>
      </c>
      <c r="D164" s="239">
        <v>0</v>
      </c>
      <c r="E164" s="239">
        <v>0</v>
      </c>
      <c r="F164" s="239">
        <v>0</v>
      </c>
      <c r="G164" s="361" t="s">
        <v>3351</v>
      </c>
      <c r="H164" s="45" t="s">
        <v>367</v>
      </c>
      <c r="I164" s="44" t="s">
        <v>368</v>
      </c>
      <c r="J164" s="44"/>
      <c r="K164" s="203">
        <f t="shared" si="4"/>
        <v>0</v>
      </c>
      <c r="L164" s="203">
        <v>0</v>
      </c>
      <c r="M164" s="203"/>
      <c r="N164" s="203">
        <f t="shared" si="5"/>
        <v>0</v>
      </c>
      <c r="O164" s="203">
        <v>0</v>
      </c>
      <c r="P164" s="203"/>
    </row>
    <row r="165" spans="1:16" ht="25.5">
      <c r="A165" s="391">
        <v>640</v>
      </c>
      <c r="B165" s="239">
        <v>200</v>
      </c>
      <c r="C165" s="239">
        <v>200</v>
      </c>
      <c r="D165" s="239">
        <v>0</v>
      </c>
      <c r="E165" s="239">
        <v>0</v>
      </c>
      <c r="F165" s="239">
        <v>0</v>
      </c>
      <c r="G165" s="361" t="s">
        <v>3352</v>
      </c>
      <c r="H165" s="45" t="s">
        <v>369</v>
      </c>
      <c r="I165" s="44" t="s">
        <v>370</v>
      </c>
      <c r="J165" s="44"/>
      <c r="K165" s="203">
        <f t="shared" si="4"/>
        <v>0</v>
      </c>
      <c r="L165" s="203">
        <v>0</v>
      </c>
      <c r="M165" s="203"/>
      <c r="N165" s="203">
        <f t="shared" si="5"/>
        <v>0</v>
      </c>
      <c r="O165" s="203">
        <v>0</v>
      </c>
      <c r="P165" s="203"/>
    </row>
    <row r="166" spans="1:16" ht="25.5">
      <c r="A166" s="391">
        <v>640</v>
      </c>
      <c r="B166" s="239">
        <v>300</v>
      </c>
      <c r="C166" s="239">
        <v>0</v>
      </c>
      <c r="D166" s="239">
        <v>0</v>
      </c>
      <c r="E166" s="239">
        <v>0</v>
      </c>
      <c r="F166" s="239">
        <v>0</v>
      </c>
      <c r="G166" s="359" t="s">
        <v>3353</v>
      </c>
      <c r="H166" s="43" t="s">
        <v>371</v>
      </c>
      <c r="I166" s="44"/>
      <c r="J166" s="44"/>
      <c r="K166" s="413"/>
      <c r="L166" s="413">
        <v>0</v>
      </c>
      <c r="M166" s="413"/>
      <c r="N166" s="413">
        <f t="shared" si="5"/>
        <v>0</v>
      </c>
      <c r="O166" s="413">
        <v>0</v>
      </c>
      <c r="P166" s="413"/>
    </row>
    <row r="167" spans="1:16" ht="38.25">
      <c r="A167" s="391">
        <v>640</v>
      </c>
      <c r="B167" s="239">
        <v>300</v>
      </c>
      <c r="C167" s="239">
        <v>100</v>
      </c>
      <c r="D167" s="239">
        <v>0</v>
      </c>
      <c r="E167" s="239">
        <v>0</v>
      </c>
      <c r="F167" s="239">
        <v>0</v>
      </c>
      <c r="G167" s="361" t="s">
        <v>3354</v>
      </c>
      <c r="H167" s="45" t="s">
        <v>372</v>
      </c>
      <c r="I167" s="44" t="s">
        <v>373</v>
      </c>
      <c r="J167" s="44" t="s">
        <v>1529</v>
      </c>
      <c r="K167" s="203">
        <f t="shared" si="4"/>
        <v>213693.99</v>
      </c>
      <c r="L167" s="203">
        <v>213693.99</v>
      </c>
      <c r="M167" s="203"/>
      <c r="N167" s="203">
        <f t="shared" si="5"/>
        <v>45826.93</v>
      </c>
      <c r="O167" s="203">
        <v>45826.93</v>
      </c>
      <c r="P167" s="203"/>
    </row>
    <row r="168" spans="1:16" ht="25.5">
      <c r="A168" s="391">
        <v>640</v>
      </c>
      <c r="B168" s="239">
        <v>300</v>
      </c>
      <c r="C168" s="239">
        <v>200</v>
      </c>
      <c r="D168" s="239">
        <v>0</v>
      </c>
      <c r="E168" s="239">
        <v>0</v>
      </c>
      <c r="F168" s="239">
        <v>0</v>
      </c>
      <c r="G168" s="361" t="s">
        <v>3355</v>
      </c>
      <c r="H168" s="45" t="s">
        <v>374</v>
      </c>
      <c r="I168" s="44" t="s">
        <v>375</v>
      </c>
      <c r="J168" s="44" t="s">
        <v>1529</v>
      </c>
      <c r="K168" s="203">
        <f t="shared" si="4"/>
        <v>0</v>
      </c>
      <c r="L168" s="203">
        <v>0</v>
      </c>
      <c r="M168" s="203"/>
      <c r="N168" s="203">
        <f t="shared" si="5"/>
        <v>0</v>
      </c>
      <c r="O168" s="203">
        <v>0</v>
      </c>
      <c r="P168" s="203"/>
    </row>
    <row r="169" spans="1:16" ht="25.5">
      <c r="A169" s="391">
        <v>640</v>
      </c>
      <c r="B169" s="239">
        <v>300</v>
      </c>
      <c r="C169" s="239">
        <v>300</v>
      </c>
      <c r="D169" s="239">
        <v>0</v>
      </c>
      <c r="E169" s="239">
        <v>0</v>
      </c>
      <c r="F169" s="239">
        <v>0</v>
      </c>
      <c r="G169" s="361" t="s">
        <v>3356</v>
      </c>
      <c r="H169" s="43" t="s">
        <v>376</v>
      </c>
      <c r="I169" s="44" t="s">
        <v>377</v>
      </c>
      <c r="J169" s="44" t="s">
        <v>1529</v>
      </c>
      <c r="K169" s="413"/>
      <c r="L169" s="413">
        <v>0</v>
      </c>
      <c r="M169" s="413"/>
      <c r="N169" s="413">
        <f t="shared" si="5"/>
        <v>0</v>
      </c>
      <c r="O169" s="413">
        <v>0</v>
      </c>
      <c r="P169" s="413"/>
    </row>
    <row r="170" spans="1:16">
      <c r="A170" s="391">
        <v>640</v>
      </c>
      <c r="B170" s="239">
        <v>300</v>
      </c>
      <c r="C170" s="239">
        <v>300</v>
      </c>
      <c r="D170" s="239">
        <v>100</v>
      </c>
      <c r="E170" s="239">
        <v>0</v>
      </c>
      <c r="F170" s="239">
        <v>0</v>
      </c>
      <c r="G170" s="361" t="s">
        <v>3357</v>
      </c>
      <c r="H170" s="45" t="s">
        <v>339</v>
      </c>
      <c r="I170" s="44"/>
      <c r="J170" s="44" t="s">
        <v>1529</v>
      </c>
      <c r="K170" s="203">
        <f t="shared" si="4"/>
        <v>3650.23</v>
      </c>
      <c r="L170" s="203">
        <v>3650.23</v>
      </c>
      <c r="M170" s="203"/>
      <c r="N170" s="203">
        <f t="shared" si="5"/>
        <v>284120.03999999998</v>
      </c>
      <c r="O170" s="203">
        <v>284120.03999999998</v>
      </c>
      <c r="P170" s="203"/>
    </row>
    <row r="171" spans="1:16">
      <c r="A171" s="391">
        <v>640</v>
      </c>
      <c r="B171" s="239">
        <v>300</v>
      </c>
      <c r="C171" s="239">
        <v>300</v>
      </c>
      <c r="D171" s="239">
        <v>200</v>
      </c>
      <c r="E171" s="239">
        <v>0</v>
      </c>
      <c r="F171" s="239">
        <v>0</v>
      </c>
      <c r="G171" s="361" t="s">
        <v>3358</v>
      </c>
      <c r="H171" s="45" t="s">
        <v>378</v>
      </c>
      <c r="I171" s="44"/>
      <c r="J171" s="44" t="s">
        <v>1529</v>
      </c>
      <c r="K171" s="203">
        <f t="shared" si="4"/>
        <v>0</v>
      </c>
      <c r="L171" s="203">
        <v>0</v>
      </c>
      <c r="M171" s="203"/>
      <c r="N171" s="203">
        <f t="shared" si="5"/>
        <v>0</v>
      </c>
      <c r="O171" s="203">
        <v>0</v>
      </c>
      <c r="P171" s="203"/>
    </row>
    <row r="172" spans="1:16">
      <c r="A172" s="391">
        <v>640</v>
      </c>
      <c r="B172" s="239">
        <v>300</v>
      </c>
      <c r="C172" s="239">
        <v>300</v>
      </c>
      <c r="D172" s="239">
        <v>900</v>
      </c>
      <c r="E172" s="239">
        <v>0</v>
      </c>
      <c r="F172" s="239">
        <v>0</v>
      </c>
      <c r="G172" s="361" t="s">
        <v>3359</v>
      </c>
      <c r="H172" s="45" t="s">
        <v>379</v>
      </c>
      <c r="I172" s="44"/>
      <c r="J172" s="44" t="s">
        <v>1529</v>
      </c>
      <c r="K172" s="203">
        <f t="shared" si="4"/>
        <v>104832.70000000001</v>
      </c>
      <c r="L172" s="203">
        <v>104832.70000000001</v>
      </c>
      <c r="M172" s="203"/>
      <c r="N172" s="203">
        <f t="shared" si="5"/>
        <v>81277.55</v>
      </c>
      <c r="O172" s="203">
        <v>81277.55</v>
      </c>
      <c r="P172" s="203"/>
    </row>
    <row r="173" spans="1:16" ht="25.5">
      <c r="A173" s="391">
        <v>640</v>
      </c>
      <c r="B173" s="239">
        <v>300</v>
      </c>
      <c r="C173" s="239">
        <v>400</v>
      </c>
      <c r="D173" s="239">
        <v>0</v>
      </c>
      <c r="E173" s="239">
        <v>0</v>
      </c>
      <c r="F173" s="239">
        <v>0</v>
      </c>
      <c r="G173" s="359" t="s">
        <v>3360</v>
      </c>
      <c r="H173" s="43" t="s">
        <v>380</v>
      </c>
      <c r="I173" s="44" t="s">
        <v>381</v>
      </c>
      <c r="J173" s="44" t="s">
        <v>1529</v>
      </c>
      <c r="K173" s="203">
        <f t="shared" si="4"/>
        <v>0</v>
      </c>
      <c r="L173" s="203">
        <v>0</v>
      </c>
      <c r="M173" s="203"/>
      <c r="N173" s="203">
        <f t="shared" si="5"/>
        <v>0</v>
      </c>
      <c r="O173" s="203">
        <v>0</v>
      </c>
      <c r="P173" s="203"/>
    </row>
    <row r="174" spans="1:16">
      <c r="A174" s="391">
        <v>640</v>
      </c>
      <c r="B174" s="239">
        <v>400</v>
      </c>
      <c r="C174" s="239">
        <v>0</v>
      </c>
      <c r="D174" s="239">
        <v>0</v>
      </c>
      <c r="E174" s="239">
        <v>0</v>
      </c>
      <c r="F174" s="239">
        <v>0</v>
      </c>
      <c r="G174" s="359" t="s">
        <v>3361</v>
      </c>
      <c r="H174" s="43" t="s">
        <v>382</v>
      </c>
      <c r="I174" s="44" t="s">
        <v>383</v>
      </c>
      <c r="J174" s="44"/>
      <c r="K174" s="413"/>
      <c r="L174" s="413">
        <v>0</v>
      </c>
      <c r="M174" s="413"/>
      <c r="N174" s="413">
        <f t="shared" si="5"/>
        <v>0</v>
      </c>
      <c r="O174" s="413">
        <v>0</v>
      </c>
      <c r="P174" s="413"/>
    </row>
    <row r="175" spans="1:16" ht="38.25">
      <c r="A175" s="391">
        <v>640</v>
      </c>
      <c r="B175" s="239">
        <v>400</v>
      </c>
      <c r="C175" s="239">
        <v>100</v>
      </c>
      <c r="D175" s="239">
        <v>0</v>
      </c>
      <c r="E175" s="239">
        <v>0</v>
      </c>
      <c r="F175" s="239">
        <v>0</v>
      </c>
      <c r="G175" s="361" t="s">
        <v>3362</v>
      </c>
      <c r="H175" s="45" t="s">
        <v>384</v>
      </c>
      <c r="I175" s="44" t="s">
        <v>385</v>
      </c>
      <c r="J175" s="44"/>
      <c r="K175" s="203">
        <f t="shared" si="4"/>
        <v>8034.14</v>
      </c>
      <c r="L175" s="203">
        <v>8034.14</v>
      </c>
      <c r="M175" s="203"/>
      <c r="N175" s="203">
        <f t="shared" si="5"/>
        <v>0</v>
      </c>
      <c r="O175" s="203">
        <v>0</v>
      </c>
      <c r="P175" s="203"/>
    </row>
    <row r="176" spans="1:16" ht="25.5">
      <c r="A176" s="391">
        <v>640</v>
      </c>
      <c r="B176" s="239">
        <v>400</v>
      </c>
      <c r="C176" s="239">
        <v>200</v>
      </c>
      <c r="D176" s="239">
        <v>0</v>
      </c>
      <c r="E176" s="239">
        <v>0</v>
      </c>
      <c r="F176" s="239">
        <v>0</v>
      </c>
      <c r="G176" s="361" t="s">
        <v>3363</v>
      </c>
      <c r="H176" s="45" t="s">
        <v>386</v>
      </c>
      <c r="I176" s="44" t="s">
        <v>387</v>
      </c>
      <c r="J176" s="44"/>
      <c r="K176" s="203">
        <f t="shared" si="4"/>
        <v>0</v>
      </c>
      <c r="L176" s="203">
        <v>0</v>
      </c>
      <c r="M176" s="203"/>
      <c r="N176" s="203">
        <f t="shared" si="5"/>
        <v>0</v>
      </c>
      <c r="O176" s="203">
        <v>0</v>
      </c>
      <c r="P176" s="203"/>
    </row>
    <row r="177" spans="1:16" ht="25.5">
      <c r="A177" s="391">
        <v>640</v>
      </c>
      <c r="B177" s="239">
        <v>400</v>
      </c>
      <c r="C177" s="239">
        <v>300</v>
      </c>
      <c r="D177" s="239">
        <v>0</v>
      </c>
      <c r="E177" s="239">
        <v>0</v>
      </c>
      <c r="F177" s="239">
        <v>0</v>
      </c>
      <c r="G177" s="359" t="s">
        <v>3364</v>
      </c>
      <c r="H177" s="43" t="s">
        <v>388</v>
      </c>
      <c r="I177" s="44" t="s">
        <v>389</v>
      </c>
      <c r="J177" s="44"/>
      <c r="K177" s="413"/>
      <c r="L177" s="413">
        <v>0</v>
      </c>
      <c r="M177" s="413"/>
      <c r="N177" s="413">
        <f t="shared" si="5"/>
        <v>0</v>
      </c>
      <c r="O177" s="413">
        <v>0</v>
      </c>
      <c r="P177" s="413"/>
    </row>
    <row r="178" spans="1:16">
      <c r="A178" s="391">
        <v>640</v>
      </c>
      <c r="B178" s="239">
        <v>400</v>
      </c>
      <c r="C178" s="239">
        <v>300</v>
      </c>
      <c r="D178" s="238">
        <v>100</v>
      </c>
      <c r="E178" s="238">
        <v>0</v>
      </c>
      <c r="F178" s="238">
        <v>0</v>
      </c>
      <c r="G178" s="360" t="s">
        <v>3365</v>
      </c>
      <c r="H178" s="45" t="s">
        <v>390</v>
      </c>
      <c r="I178" s="47"/>
      <c r="J178" s="47"/>
      <c r="K178" s="203">
        <f t="shared" si="4"/>
        <v>0</v>
      </c>
      <c r="L178" s="203">
        <v>0</v>
      </c>
      <c r="M178" s="203"/>
      <c r="N178" s="203">
        <f t="shared" si="5"/>
        <v>0</v>
      </c>
      <c r="O178" s="203">
        <v>0</v>
      </c>
      <c r="P178" s="203"/>
    </row>
    <row r="179" spans="1:16" ht="25.5">
      <c r="A179" s="391">
        <v>640</v>
      </c>
      <c r="B179" s="239">
        <v>400</v>
      </c>
      <c r="C179" s="239">
        <v>300</v>
      </c>
      <c r="D179" s="238">
        <v>200</v>
      </c>
      <c r="E179" s="238">
        <v>0</v>
      </c>
      <c r="F179" s="238">
        <v>0</v>
      </c>
      <c r="G179" s="360" t="s">
        <v>3366</v>
      </c>
      <c r="H179" s="45" t="s">
        <v>391</v>
      </c>
      <c r="I179" s="47"/>
      <c r="J179" s="47"/>
      <c r="K179" s="203">
        <f t="shared" si="4"/>
        <v>0</v>
      </c>
      <c r="L179" s="203">
        <v>0</v>
      </c>
      <c r="M179" s="203"/>
      <c r="N179" s="203">
        <f t="shared" si="5"/>
        <v>0</v>
      </c>
      <c r="O179" s="203">
        <v>0</v>
      </c>
      <c r="P179" s="203"/>
    </row>
    <row r="180" spans="1:16">
      <c r="A180" s="391">
        <v>640</v>
      </c>
      <c r="B180" s="239">
        <v>400</v>
      </c>
      <c r="C180" s="239">
        <v>300</v>
      </c>
      <c r="D180" s="238">
        <v>300</v>
      </c>
      <c r="E180" s="238">
        <v>0</v>
      </c>
      <c r="F180" s="238">
        <v>0</v>
      </c>
      <c r="G180" s="360" t="s">
        <v>3367</v>
      </c>
      <c r="H180" s="45" t="s">
        <v>392</v>
      </c>
      <c r="I180" s="47"/>
      <c r="J180" s="47"/>
      <c r="K180" s="203">
        <f t="shared" si="4"/>
        <v>25198.21</v>
      </c>
      <c r="L180" s="203">
        <v>25198.21</v>
      </c>
      <c r="M180" s="203"/>
      <c r="N180" s="203">
        <f t="shared" si="5"/>
        <v>1169.82</v>
      </c>
      <c r="O180" s="203">
        <v>1169.82</v>
      </c>
      <c r="P180" s="203"/>
    </row>
    <row r="181" spans="1:16" ht="25.5">
      <c r="A181" s="391">
        <v>640</v>
      </c>
      <c r="B181" s="239">
        <v>400</v>
      </c>
      <c r="C181" s="239">
        <v>300</v>
      </c>
      <c r="D181" s="238">
        <v>400</v>
      </c>
      <c r="E181" s="238">
        <v>0</v>
      </c>
      <c r="F181" s="238">
        <v>0</v>
      </c>
      <c r="G181" s="360" t="s">
        <v>3368</v>
      </c>
      <c r="H181" s="45" t="s">
        <v>393</v>
      </c>
      <c r="I181" s="47"/>
      <c r="J181" s="47"/>
      <c r="K181" s="203">
        <f t="shared" si="4"/>
        <v>0</v>
      </c>
      <c r="L181" s="203">
        <v>0</v>
      </c>
      <c r="M181" s="203"/>
      <c r="N181" s="203">
        <f t="shared" si="5"/>
        <v>0</v>
      </c>
      <c r="O181" s="203">
        <v>0</v>
      </c>
      <c r="P181" s="203"/>
    </row>
    <row r="182" spans="1:16">
      <c r="A182" s="391">
        <v>640</v>
      </c>
      <c r="B182" s="239">
        <v>400</v>
      </c>
      <c r="C182" s="239">
        <v>300</v>
      </c>
      <c r="D182" s="238">
        <v>500</v>
      </c>
      <c r="E182" s="238">
        <v>0</v>
      </c>
      <c r="F182" s="238">
        <v>0</v>
      </c>
      <c r="G182" s="360" t="s">
        <v>3369</v>
      </c>
      <c r="H182" s="45" t="s">
        <v>394</v>
      </c>
      <c r="I182" s="47"/>
      <c r="J182" s="47"/>
      <c r="K182" s="203">
        <f t="shared" si="4"/>
        <v>19790.27</v>
      </c>
      <c r="L182" s="203">
        <v>19790.27</v>
      </c>
      <c r="M182" s="203"/>
      <c r="N182" s="203">
        <f t="shared" si="5"/>
        <v>31122.84</v>
      </c>
      <c r="O182" s="203">
        <v>31122.84</v>
      </c>
      <c r="P182" s="203"/>
    </row>
    <row r="183" spans="1:16" ht="25.5">
      <c r="A183" s="391">
        <v>640</v>
      </c>
      <c r="B183" s="239">
        <v>400</v>
      </c>
      <c r="C183" s="239">
        <v>300</v>
      </c>
      <c r="D183" s="238">
        <v>900</v>
      </c>
      <c r="E183" s="238">
        <v>0</v>
      </c>
      <c r="F183" s="238">
        <v>0</v>
      </c>
      <c r="G183" s="360" t="s">
        <v>3370</v>
      </c>
      <c r="H183" s="45" t="s">
        <v>388</v>
      </c>
      <c r="I183" s="47"/>
      <c r="J183" s="47"/>
      <c r="K183" s="203">
        <f t="shared" si="4"/>
        <v>58110.080000000002</v>
      </c>
      <c r="L183" s="203">
        <v>58110.080000000002</v>
      </c>
      <c r="M183" s="203"/>
      <c r="N183" s="203">
        <f t="shared" si="5"/>
        <v>136582.42000000001</v>
      </c>
      <c r="O183" s="203">
        <v>136582.42000000001</v>
      </c>
      <c r="P183" s="203"/>
    </row>
    <row r="184" spans="1:16">
      <c r="A184" s="391">
        <v>640</v>
      </c>
      <c r="B184" s="239">
        <v>500</v>
      </c>
      <c r="C184" s="239">
        <v>0</v>
      </c>
      <c r="D184" s="239">
        <v>0</v>
      </c>
      <c r="E184" s="239">
        <v>0</v>
      </c>
      <c r="F184" s="239">
        <v>0</v>
      </c>
      <c r="G184" s="359" t="s">
        <v>3371</v>
      </c>
      <c r="H184" s="43" t="s">
        <v>395</v>
      </c>
      <c r="I184" s="44" t="s">
        <v>396</v>
      </c>
      <c r="J184" s="44"/>
      <c r="K184" s="413"/>
      <c r="L184" s="413">
        <v>0</v>
      </c>
      <c r="M184" s="413"/>
      <c r="N184" s="413">
        <f t="shared" si="5"/>
        <v>0</v>
      </c>
      <c r="O184" s="413">
        <v>0</v>
      </c>
      <c r="P184" s="413"/>
    </row>
    <row r="185" spans="1:16">
      <c r="A185" s="391">
        <v>640</v>
      </c>
      <c r="B185" s="239">
        <v>500</v>
      </c>
      <c r="C185" s="239">
        <v>100</v>
      </c>
      <c r="D185" s="239">
        <v>0</v>
      </c>
      <c r="E185" s="239">
        <v>0</v>
      </c>
      <c r="F185" s="239">
        <v>0</v>
      </c>
      <c r="G185" s="359" t="s">
        <v>3372</v>
      </c>
      <c r="H185" s="43" t="s">
        <v>397</v>
      </c>
      <c r="I185" s="44" t="s">
        <v>398</v>
      </c>
      <c r="J185" s="44"/>
      <c r="K185" s="413"/>
      <c r="L185" s="413">
        <v>0</v>
      </c>
      <c r="M185" s="413"/>
      <c r="N185" s="413">
        <f t="shared" si="5"/>
        <v>0</v>
      </c>
      <c r="O185" s="413">
        <v>0</v>
      </c>
      <c r="P185" s="413"/>
    </row>
    <row r="186" spans="1:16" ht="25.5">
      <c r="A186" s="391">
        <v>640</v>
      </c>
      <c r="B186" s="239">
        <v>500</v>
      </c>
      <c r="C186" s="239">
        <v>100</v>
      </c>
      <c r="D186" s="239">
        <v>100</v>
      </c>
      <c r="E186" s="239">
        <v>0</v>
      </c>
      <c r="F186" s="239">
        <v>0</v>
      </c>
      <c r="G186" s="361" t="s">
        <v>3373</v>
      </c>
      <c r="H186" s="45" t="s">
        <v>399</v>
      </c>
      <c r="I186" s="44" t="s">
        <v>400</v>
      </c>
      <c r="J186" s="44"/>
      <c r="K186" s="203">
        <f t="shared" si="4"/>
        <v>0</v>
      </c>
      <c r="L186" s="203">
        <v>0</v>
      </c>
      <c r="M186" s="203"/>
      <c r="N186" s="203">
        <f t="shared" si="5"/>
        <v>0</v>
      </c>
      <c r="O186" s="203">
        <v>0</v>
      </c>
      <c r="P186" s="203"/>
    </row>
    <row r="187" spans="1:16" ht="25.5">
      <c r="A187" s="391">
        <v>640</v>
      </c>
      <c r="B187" s="239">
        <v>500</v>
      </c>
      <c r="C187" s="239">
        <v>100</v>
      </c>
      <c r="D187" s="239">
        <v>200</v>
      </c>
      <c r="E187" s="239">
        <v>0</v>
      </c>
      <c r="F187" s="239">
        <v>0</v>
      </c>
      <c r="G187" s="361" t="s">
        <v>3374</v>
      </c>
      <c r="H187" s="45" t="s">
        <v>401</v>
      </c>
      <c r="I187" s="44" t="s">
        <v>402</v>
      </c>
      <c r="J187" s="44"/>
      <c r="K187" s="203">
        <f t="shared" si="4"/>
        <v>1498960.7</v>
      </c>
      <c r="L187" s="203">
        <v>1498960.7</v>
      </c>
      <c r="M187" s="203"/>
      <c r="N187" s="203">
        <f t="shared" si="5"/>
        <v>157696.34</v>
      </c>
      <c r="O187" s="203">
        <v>157696.34</v>
      </c>
      <c r="P187" s="203"/>
    </row>
    <row r="188" spans="1:16">
      <c r="A188" s="391">
        <v>640</v>
      </c>
      <c r="B188" s="239">
        <v>500</v>
      </c>
      <c r="C188" s="239">
        <v>100</v>
      </c>
      <c r="D188" s="239">
        <v>300</v>
      </c>
      <c r="E188" s="239">
        <v>0</v>
      </c>
      <c r="F188" s="239">
        <v>0</v>
      </c>
      <c r="G188" s="361" t="s">
        <v>3375</v>
      </c>
      <c r="H188" s="45" t="s">
        <v>403</v>
      </c>
      <c r="I188" s="44" t="s">
        <v>404</v>
      </c>
      <c r="J188" s="44"/>
      <c r="K188" s="203">
        <f t="shared" si="4"/>
        <v>91640.48</v>
      </c>
      <c r="L188" s="203">
        <v>91640.48</v>
      </c>
      <c r="M188" s="203"/>
      <c r="N188" s="203">
        <f t="shared" si="5"/>
        <v>26843.59</v>
      </c>
      <c r="O188" s="203">
        <v>26843.59</v>
      </c>
      <c r="P188" s="203"/>
    </row>
    <row r="189" spans="1:16">
      <c r="A189" s="391">
        <v>640</v>
      </c>
      <c r="B189" s="239">
        <v>500</v>
      </c>
      <c r="C189" s="239">
        <v>150</v>
      </c>
      <c r="D189" s="239">
        <v>0</v>
      </c>
      <c r="E189" s="239">
        <v>0</v>
      </c>
      <c r="F189" s="239">
        <v>0</v>
      </c>
      <c r="G189" s="361" t="s">
        <v>3376</v>
      </c>
      <c r="H189" s="45" t="s">
        <v>405</v>
      </c>
      <c r="I189" s="44" t="s">
        <v>406</v>
      </c>
      <c r="J189" s="44"/>
      <c r="K189" s="203">
        <f t="shared" si="4"/>
        <v>0</v>
      </c>
      <c r="L189" s="203">
        <v>0</v>
      </c>
      <c r="M189" s="203"/>
      <c r="N189" s="203">
        <f t="shared" si="5"/>
        <v>0</v>
      </c>
      <c r="O189" s="203">
        <v>0</v>
      </c>
      <c r="P189" s="203"/>
    </row>
    <row r="190" spans="1:16">
      <c r="A190" s="391">
        <v>640</v>
      </c>
      <c r="B190" s="239">
        <v>500</v>
      </c>
      <c r="C190" s="239">
        <v>200</v>
      </c>
      <c r="D190" s="239">
        <v>0</v>
      </c>
      <c r="E190" s="239">
        <v>0</v>
      </c>
      <c r="F190" s="239">
        <v>0</v>
      </c>
      <c r="G190" s="359" t="s">
        <v>3377</v>
      </c>
      <c r="H190" s="43" t="s">
        <v>407</v>
      </c>
      <c r="I190" s="44" t="s">
        <v>408</v>
      </c>
      <c r="J190" s="44"/>
      <c r="K190" s="413"/>
      <c r="L190" s="413">
        <v>0</v>
      </c>
      <c r="M190" s="413"/>
      <c r="N190" s="413">
        <f t="shared" si="5"/>
        <v>0</v>
      </c>
      <c r="O190" s="413">
        <v>0</v>
      </c>
      <c r="P190" s="413"/>
    </row>
    <row r="191" spans="1:16">
      <c r="A191" s="391">
        <v>640</v>
      </c>
      <c r="B191" s="239">
        <v>500</v>
      </c>
      <c r="C191" s="239">
        <v>200</v>
      </c>
      <c r="D191" s="238">
        <v>50</v>
      </c>
      <c r="E191" s="238">
        <v>0</v>
      </c>
      <c r="F191" s="238">
        <v>0</v>
      </c>
      <c r="G191" s="360" t="s">
        <v>3378</v>
      </c>
      <c r="H191" s="45" t="s">
        <v>409</v>
      </c>
      <c r="I191" s="47"/>
      <c r="J191" s="47"/>
      <c r="K191" s="203">
        <f t="shared" si="4"/>
        <v>0</v>
      </c>
      <c r="L191" s="203">
        <v>0</v>
      </c>
      <c r="M191" s="203"/>
      <c r="N191" s="203">
        <f t="shared" si="5"/>
        <v>0</v>
      </c>
      <c r="O191" s="203">
        <v>0</v>
      </c>
      <c r="P191" s="203"/>
    </row>
    <row r="192" spans="1:16" ht="25.5">
      <c r="A192" s="391">
        <v>640</v>
      </c>
      <c r="B192" s="239">
        <v>500</v>
      </c>
      <c r="C192" s="239">
        <v>200</v>
      </c>
      <c r="D192" s="238">
        <v>100</v>
      </c>
      <c r="E192" s="238">
        <v>0</v>
      </c>
      <c r="F192" s="238">
        <v>0</v>
      </c>
      <c r="G192" s="360" t="s">
        <v>3379</v>
      </c>
      <c r="H192" s="45" t="s">
        <v>410</v>
      </c>
      <c r="I192" s="47"/>
      <c r="J192" s="47"/>
      <c r="K192" s="203">
        <f t="shared" si="4"/>
        <v>34191.089999999997</v>
      </c>
      <c r="L192" s="203">
        <v>34191.089999999997</v>
      </c>
      <c r="M192" s="203"/>
      <c r="N192" s="203">
        <f t="shared" si="5"/>
        <v>33242.589999999997</v>
      </c>
      <c r="O192" s="203">
        <v>33242.589999999997</v>
      </c>
      <c r="P192" s="203"/>
    </row>
    <row r="193" spans="1:16" ht="25.5">
      <c r="A193" s="391">
        <v>640</v>
      </c>
      <c r="B193" s="239">
        <v>500</v>
      </c>
      <c r="C193" s="239">
        <v>200</v>
      </c>
      <c r="D193" s="238">
        <v>150</v>
      </c>
      <c r="E193" s="238">
        <v>0</v>
      </c>
      <c r="F193" s="238">
        <v>0</v>
      </c>
      <c r="G193" s="360" t="s">
        <v>3380</v>
      </c>
      <c r="H193" s="45" t="s">
        <v>411</v>
      </c>
      <c r="I193" s="47"/>
      <c r="J193" s="47"/>
      <c r="K193" s="203">
        <f t="shared" si="4"/>
        <v>0</v>
      </c>
      <c r="L193" s="203">
        <v>0</v>
      </c>
      <c r="M193" s="203"/>
      <c r="N193" s="203">
        <f t="shared" si="5"/>
        <v>0</v>
      </c>
      <c r="O193" s="203">
        <v>0</v>
      </c>
      <c r="P193" s="203"/>
    </row>
    <row r="194" spans="1:16">
      <c r="A194" s="391">
        <v>640</v>
      </c>
      <c r="B194" s="239">
        <v>500</v>
      </c>
      <c r="C194" s="239">
        <v>200</v>
      </c>
      <c r="D194" s="238">
        <v>200</v>
      </c>
      <c r="E194" s="238">
        <v>0</v>
      </c>
      <c r="F194" s="238">
        <v>0</v>
      </c>
      <c r="G194" s="360" t="s">
        <v>3381</v>
      </c>
      <c r="H194" s="45" t="s">
        <v>412</v>
      </c>
      <c r="I194" s="47"/>
      <c r="J194" s="47"/>
      <c r="K194" s="203">
        <f t="shared" si="4"/>
        <v>15738</v>
      </c>
      <c r="L194" s="203">
        <v>15738</v>
      </c>
      <c r="M194" s="203"/>
      <c r="N194" s="203">
        <f t="shared" si="5"/>
        <v>16005</v>
      </c>
      <c r="O194" s="203">
        <v>16005</v>
      </c>
      <c r="P194" s="203"/>
    </row>
    <row r="195" spans="1:16">
      <c r="A195" s="391">
        <v>640</v>
      </c>
      <c r="B195" s="239">
        <v>500</v>
      </c>
      <c r="C195" s="239">
        <v>200</v>
      </c>
      <c r="D195" s="238">
        <v>250</v>
      </c>
      <c r="E195" s="238">
        <v>0</v>
      </c>
      <c r="F195" s="238">
        <v>0</v>
      </c>
      <c r="G195" s="360" t="s">
        <v>3382</v>
      </c>
      <c r="H195" s="45" t="s">
        <v>413</v>
      </c>
      <c r="I195" s="47"/>
      <c r="J195" s="47"/>
      <c r="K195" s="203">
        <f t="shared" si="4"/>
        <v>0</v>
      </c>
      <c r="L195" s="203">
        <v>0</v>
      </c>
      <c r="M195" s="203"/>
      <c r="N195" s="203">
        <f t="shared" si="5"/>
        <v>0</v>
      </c>
      <c r="O195" s="203">
        <v>0</v>
      </c>
      <c r="P195" s="203"/>
    </row>
    <row r="196" spans="1:16">
      <c r="A196" s="391">
        <v>640</v>
      </c>
      <c r="B196" s="239">
        <v>500</v>
      </c>
      <c r="C196" s="239">
        <v>200</v>
      </c>
      <c r="D196" s="238">
        <v>300</v>
      </c>
      <c r="E196" s="238">
        <v>0</v>
      </c>
      <c r="F196" s="238">
        <v>0</v>
      </c>
      <c r="G196" s="360" t="s">
        <v>3383</v>
      </c>
      <c r="H196" s="45" t="s">
        <v>414</v>
      </c>
      <c r="I196" s="47"/>
      <c r="J196" s="47"/>
      <c r="K196" s="203">
        <f t="shared" si="4"/>
        <v>0</v>
      </c>
      <c r="L196" s="203">
        <v>0</v>
      </c>
      <c r="M196" s="203"/>
      <c r="N196" s="203">
        <f t="shared" si="5"/>
        <v>23629.1</v>
      </c>
      <c r="O196" s="203">
        <v>23629.1</v>
      </c>
      <c r="P196" s="203"/>
    </row>
    <row r="197" spans="1:16">
      <c r="A197" s="391">
        <v>640</v>
      </c>
      <c r="B197" s="239">
        <v>500</v>
      </c>
      <c r="C197" s="239">
        <v>200</v>
      </c>
      <c r="D197" s="238">
        <v>350</v>
      </c>
      <c r="E197" s="238">
        <v>0</v>
      </c>
      <c r="F197" s="238">
        <v>0</v>
      </c>
      <c r="G197" s="360" t="s">
        <v>3384</v>
      </c>
      <c r="H197" s="45" t="s">
        <v>415</v>
      </c>
      <c r="I197" s="47"/>
      <c r="J197" s="47"/>
      <c r="K197" s="203">
        <f t="shared" si="4"/>
        <v>0</v>
      </c>
      <c r="L197" s="203">
        <v>0</v>
      </c>
      <c r="M197" s="203"/>
      <c r="N197" s="203">
        <f t="shared" si="5"/>
        <v>0</v>
      </c>
      <c r="O197" s="203">
        <v>0</v>
      </c>
      <c r="P197" s="203"/>
    </row>
    <row r="198" spans="1:16">
      <c r="A198" s="391">
        <v>640</v>
      </c>
      <c r="B198" s="239">
        <v>500</v>
      </c>
      <c r="C198" s="239">
        <v>200</v>
      </c>
      <c r="D198" s="238">
        <v>400</v>
      </c>
      <c r="E198" s="238">
        <v>0</v>
      </c>
      <c r="F198" s="238">
        <v>0</v>
      </c>
      <c r="G198" s="360" t="s">
        <v>3385</v>
      </c>
      <c r="H198" s="45" t="s">
        <v>416</v>
      </c>
      <c r="I198" s="47"/>
      <c r="J198" s="47"/>
      <c r="K198" s="203">
        <f t="shared" si="4"/>
        <v>6780.68</v>
      </c>
      <c r="L198" s="203">
        <v>6780.68</v>
      </c>
      <c r="M198" s="203"/>
      <c r="N198" s="203">
        <f t="shared" si="5"/>
        <v>8202.98</v>
      </c>
      <c r="O198" s="203">
        <v>8202.98</v>
      </c>
      <c r="P198" s="203"/>
    </row>
    <row r="199" spans="1:16">
      <c r="A199" s="391">
        <v>640</v>
      </c>
      <c r="B199" s="239">
        <v>500</v>
      </c>
      <c r="C199" s="239">
        <v>200</v>
      </c>
      <c r="D199" s="238">
        <v>450</v>
      </c>
      <c r="E199" s="238">
        <v>0</v>
      </c>
      <c r="F199" s="238">
        <v>0</v>
      </c>
      <c r="G199" s="360" t="s">
        <v>3386</v>
      </c>
      <c r="H199" s="45" t="s">
        <v>417</v>
      </c>
      <c r="I199" s="47"/>
      <c r="J199" s="47"/>
      <c r="K199" s="203">
        <f t="shared" ref="K199:K261" si="6">+L199+M199</f>
        <v>526.83000000000004</v>
      </c>
      <c r="L199" s="203">
        <v>526.83000000000004</v>
      </c>
      <c r="M199" s="203"/>
      <c r="N199" s="203">
        <f t="shared" ref="N199:N262" si="7">+O199+P199</f>
        <v>681.78</v>
      </c>
      <c r="O199" s="203">
        <v>681.78</v>
      </c>
      <c r="P199" s="203"/>
    </row>
    <row r="200" spans="1:16" ht="25.5">
      <c r="A200" s="391">
        <v>640</v>
      </c>
      <c r="B200" s="239">
        <v>500</v>
      </c>
      <c r="C200" s="239">
        <v>200</v>
      </c>
      <c r="D200" s="238">
        <v>500</v>
      </c>
      <c r="E200" s="238">
        <v>0</v>
      </c>
      <c r="F200" s="238">
        <v>0</v>
      </c>
      <c r="G200" s="360" t="s">
        <v>3387</v>
      </c>
      <c r="H200" s="45" t="s">
        <v>418</v>
      </c>
      <c r="I200" s="47"/>
      <c r="J200" s="47"/>
      <c r="K200" s="203">
        <f t="shared" si="6"/>
        <v>26525.17</v>
      </c>
      <c r="L200" s="203">
        <v>26525.17</v>
      </c>
      <c r="M200" s="203"/>
      <c r="N200" s="203">
        <f t="shared" si="7"/>
        <v>30031.88</v>
      </c>
      <c r="O200" s="203">
        <v>30031.88</v>
      </c>
      <c r="P200" s="203"/>
    </row>
    <row r="201" spans="1:16" ht="25.5">
      <c r="A201" s="391">
        <v>640</v>
      </c>
      <c r="B201" s="239">
        <v>500</v>
      </c>
      <c r="C201" s="239">
        <v>200</v>
      </c>
      <c r="D201" s="238">
        <v>550</v>
      </c>
      <c r="E201" s="238">
        <v>0</v>
      </c>
      <c r="F201" s="238">
        <v>0</v>
      </c>
      <c r="G201" s="360" t="s">
        <v>3388</v>
      </c>
      <c r="H201" s="45" t="s">
        <v>419</v>
      </c>
      <c r="I201" s="47"/>
      <c r="J201" s="47"/>
      <c r="K201" s="203">
        <f t="shared" si="6"/>
        <v>0</v>
      </c>
      <c r="L201" s="203">
        <v>0</v>
      </c>
      <c r="M201" s="203"/>
      <c r="N201" s="203">
        <f t="shared" si="7"/>
        <v>3915</v>
      </c>
      <c r="O201" s="203">
        <v>3915</v>
      </c>
      <c r="P201" s="203"/>
    </row>
    <row r="202" spans="1:16">
      <c r="A202" s="391">
        <v>640</v>
      </c>
      <c r="B202" s="239">
        <v>500</v>
      </c>
      <c r="C202" s="239">
        <v>200</v>
      </c>
      <c r="D202" s="238">
        <v>600</v>
      </c>
      <c r="E202" s="238">
        <v>0</v>
      </c>
      <c r="F202" s="238">
        <v>0</v>
      </c>
      <c r="G202" s="360" t="s">
        <v>3389</v>
      </c>
      <c r="H202" s="45" t="s">
        <v>420</v>
      </c>
      <c r="I202" s="47"/>
      <c r="J202" s="47"/>
      <c r="K202" s="203">
        <f t="shared" si="6"/>
        <v>0</v>
      </c>
      <c r="L202" s="203">
        <v>0</v>
      </c>
      <c r="M202" s="203"/>
      <c r="N202" s="203">
        <f t="shared" si="7"/>
        <v>0</v>
      </c>
      <c r="O202" s="203">
        <v>0</v>
      </c>
      <c r="P202" s="203"/>
    </row>
    <row r="203" spans="1:16">
      <c r="A203" s="391">
        <v>640</v>
      </c>
      <c r="B203" s="239">
        <v>500</v>
      </c>
      <c r="C203" s="239">
        <v>200</v>
      </c>
      <c r="D203" s="238">
        <v>900</v>
      </c>
      <c r="E203" s="238">
        <v>0</v>
      </c>
      <c r="F203" s="238">
        <v>0</v>
      </c>
      <c r="G203" s="360" t="s">
        <v>3390</v>
      </c>
      <c r="H203" s="45" t="s">
        <v>407</v>
      </c>
      <c r="I203" s="47"/>
      <c r="J203" s="47"/>
      <c r="K203" s="203">
        <f t="shared" si="6"/>
        <v>49194.99</v>
      </c>
      <c r="L203" s="203">
        <v>49194.99</v>
      </c>
      <c r="M203" s="203"/>
      <c r="N203" s="203">
        <f t="shared" si="7"/>
        <v>9545.24</v>
      </c>
      <c r="O203" s="203">
        <v>9545.24</v>
      </c>
      <c r="P203" s="203"/>
    </row>
    <row r="204" spans="1:16" ht="25.5">
      <c r="A204" s="236">
        <v>650</v>
      </c>
      <c r="B204" s="237">
        <v>0</v>
      </c>
      <c r="C204" s="237">
        <v>0</v>
      </c>
      <c r="D204" s="237">
        <v>0</v>
      </c>
      <c r="E204" s="237">
        <v>0</v>
      </c>
      <c r="F204" s="237">
        <v>0</v>
      </c>
      <c r="G204" s="358">
        <v>650</v>
      </c>
      <c r="H204" s="41" t="s">
        <v>421</v>
      </c>
      <c r="I204" s="42" t="s">
        <v>422</v>
      </c>
      <c r="J204" s="42"/>
      <c r="K204" s="205"/>
      <c r="L204" s="205">
        <v>0</v>
      </c>
      <c r="M204" s="205"/>
      <c r="N204" s="205">
        <f t="shared" si="7"/>
        <v>0</v>
      </c>
      <c r="O204" s="205">
        <v>0</v>
      </c>
      <c r="P204" s="205"/>
    </row>
    <row r="205" spans="1:16" ht="38.25">
      <c r="A205" s="391">
        <v>650</v>
      </c>
      <c r="B205" s="239">
        <v>100</v>
      </c>
      <c r="C205" s="239">
        <v>0</v>
      </c>
      <c r="D205" s="239">
        <v>0</v>
      </c>
      <c r="E205" s="239">
        <v>0</v>
      </c>
      <c r="F205" s="239">
        <v>0</v>
      </c>
      <c r="G205" s="361" t="s">
        <v>3391</v>
      </c>
      <c r="H205" s="45" t="s">
        <v>2103</v>
      </c>
      <c r="I205" s="44" t="s">
        <v>423</v>
      </c>
      <c r="J205" s="44"/>
      <c r="K205" s="203">
        <f t="shared" si="6"/>
        <v>1857950.3</v>
      </c>
      <c r="L205" s="203">
        <v>1857950.3</v>
      </c>
      <c r="M205" s="203"/>
      <c r="N205" s="203">
        <f t="shared" si="7"/>
        <v>1792592.55</v>
      </c>
      <c r="O205" s="203">
        <v>1792592.55</v>
      </c>
      <c r="P205" s="203"/>
    </row>
    <row r="206" spans="1:16" ht="25.5">
      <c r="A206" s="391">
        <v>650</v>
      </c>
      <c r="B206" s="239">
        <v>200</v>
      </c>
      <c r="C206" s="239">
        <v>0</v>
      </c>
      <c r="D206" s="239">
        <v>0</v>
      </c>
      <c r="E206" s="239">
        <v>0</v>
      </c>
      <c r="F206" s="239">
        <v>0</v>
      </c>
      <c r="G206" s="361" t="s">
        <v>3392</v>
      </c>
      <c r="H206" s="45" t="s">
        <v>424</v>
      </c>
      <c r="I206" s="44" t="s">
        <v>425</v>
      </c>
      <c r="J206" s="44"/>
      <c r="K206" s="203">
        <f t="shared" si="6"/>
        <v>16108.75</v>
      </c>
      <c r="L206" s="203">
        <v>16108.75</v>
      </c>
      <c r="M206" s="203"/>
      <c r="N206" s="203">
        <f t="shared" si="7"/>
        <v>15665.4</v>
      </c>
      <c r="O206" s="203">
        <v>15665.4</v>
      </c>
      <c r="P206" s="203"/>
    </row>
    <row r="207" spans="1:16" ht="25.5">
      <c r="A207" s="391">
        <v>650</v>
      </c>
      <c r="B207" s="239">
        <v>300</v>
      </c>
      <c r="C207" s="239">
        <v>0</v>
      </c>
      <c r="D207" s="239">
        <v>0</v>
      </c>
      <c r="E207" s="239">
        <v>0</v>
      </c>
      <c r="F207" s="239">
        <v>0</v>
      </c>
      <c r="G207" s="361" t="s">
        <v>3393</v>
      </c>
      <c r="H207" s="45" t="s">
        <v>426</v>
      </c>
      <c r="I207" s="44" t="s">
        <v>427</v>
      </c>
      <c r="J207" s="44"/>
      <c r="K207" s="203">
        <f t="shared" si="6"/>
        <v>0</v>
      </c>
      <c r="L207" s="203">
        <v>0</v>
      </c>
      <c r="M207" s="203"/>
      <c r="N207" s="203">
        <f t="shared" si="7"/>
        <v>0</v>
      </c>
      <c r="O207" s="203">
        <v>0</v>
      </c>
      <c r="P207" s="203"/>
    </row>
    <row r="208" spans="1:16">
      <c r="A208" s="236">
        <v>660</v>
      </c>
      <c r="B208" s="237">
        <v>0</v>
      </c>
      <c r="C208" s="237">
        <v>0</v>
      </c>
      <c r="D208" s="237">
        <v>0</v>
      </c>
      <c r="E208" s="237">
        <v>0</v>
      </c>
      <c r="F208" s="237">
        <v>0</v>
      </c>
      <c r="G208" s="358">
        <v>660</v>
      </c>
      <c r="H208" s="41" t="s">
        <v>428</v>
      </c>
      <c r="I208" s="42" t="s">
        <v>429</v>
      </c>
      <c r="J208" s="42"/>
      <c r="K208" s="205"/>
      <c r="L208" s="205">
        <v>0</v>
      </c>
      <c r="M208" s="205"/>
      <c r="N208" s="205">
        <f t="shared" si="7"/>
        <v>0</v>
      </c>
      <c r="O208" s="205">
        <v>0</v>
      </c>
      <c r="P208" s="205"/>
    </row>
    <row r="209" spans="1:16" ht="25.5">
      <c r="A209" s="391">
        <v>660</v>
      </c>
      <c r="B209" s="239">
        <v>100</v>
      </c>
      <c r="C209" s="239">
        <v>0</v>
      </c>
      <c r="D209" s="239">
        <v>0</v>
      </c>
      <c r="E209" s="239">
        <v>0</v>
      </c>
      <c r="F209" s="239">
        <v>0</v>
      </c>
      <c r="G209" s="361" t="s">
        <v>3394</v>
      </c>
      <c r="H209" s="45" t="s">
        <v>430</v>
      </c>
      <c r="I209" s="44" t="s">
        <v>431</v>
      </c>
      <c r="J209" s="44"/>
      <c r="K209" s="203">
        <f t="shared" si="6"/>
        <v>547166.46</v>
      </c>
      <c r="L209" s="203">
        <v>547166.46</v>
      </c>
      <c r="M209" s="203"/>
      <c r="N209" s="203">
        <f t="shared" si="7"/>
        <v>567987.67000000004</v>
      </c>
      <c r="O209" s="203">
        <v>567987.67000000004</v>
      </c>
      <c r="P209" s="203"/>
    </row>
    <row r="210" spans="1:16" ht="25.5">
      <c r="A210" s="391">
        <v>660</v>
      </c>
      <c r="B210" s="239">
        <v>200</v>
      </c>
      <c r="C210" s="239">
        <v>0</v>
      </c>
      <c r="D210" s="239">
        <v>0</v>
      </c>
      <c r="E210" s="239">
        <v>0</v>
      </c>
      <c r="F210" s="239">
        <v>0</v>
      </c>
      <c r="G210" s="361" t="s">
        <v>3395</v>
      </c>
      <c r="H210" s="45" t="s">
        <v>432</v>
      </c>
      <c r="I210" s="44" t="s">
        <v>433</v>
      </c>
      <c r="J210" s="44"/>
      <c r="K210" s="203">
        <f t="shared" si="6"/>
        <v>2130240.71</v>
      </c>
      <c r="L210" s="203">
        <v>2130240.71</v>
      </c>
      <c r="M210" s="203"/>
      <c r="N210" s="203">
        <f t="shared" si="7"/>
        <v>2100716.1</v>
      </c>
      <c r="O210" s="203">
        <v>2100716.1</v>
      </c>
      <c r="P210" s="203"/>
    </row>
    <row r="211" spans="1:16" ht="25.5">
      <c r="A211" s="391">
        <v>660</v>
      </c>
      <c r="B211" s="239">
        <v>300</v>
      </c>
      <c r="C211" s="239">
        <v>0</v>
      </c>
      <c r="D211" s="239">
        <v>0</v>
      </c>
      <c r="E211" s="239">
        <v>0</v>
      </c>
      <c r="F211" s="239">
        <v>0</v>
      </c>
      <c r="G211" s="361" t="s">
        <v>3396</v>
      </c>
      <c r="H211" s="45" t="s">
        <v>434</v>
      </c>
      <c r="I211" s="44" t="s">
        <v>435</v>
      </c>
      <c r="J211" s="44"/>
      <c r="K211" s="203">
        <f t="shared" si="6"/>
        <v>178512.48</v>
      </c>
      <c r="L211" s="203">
        <v>178512.48</v>
      </c>
      <c r="M211" s="203"/>
      <c r="N211" s="203">
        <f t="shared" si="7"/>
        <v>182378.96</v>
      </c>
      <c r="O211" s="203">
        <v>182378.96</v>
      </c>
      <c r="P211" s="203"/>
    </row>
    <row r="212" spans="1:16" ht="25.5">
      <c r="A212" s="391">
        <v>660</v>
      </c>
      <c r="B212" s="239">
        <v>400</v>
      </c>
      <c r="C212" s="239">
        <v>0</v>
      </c>
      <c r="D212" s="239">
        <v>0</v>
      </c>
      <c r="E212" s="239">
        <v>0</v>
      </c>
      <c r="F212" s="239">
        <v>0</v>
      </c>
      <c r="G212" s="361" t="s">
        <v>3397</v>
      </c>
      <c r="H212" s="45" t="s">
        <v>436</v>
      </c>
      <c r="I212" s="44" t="s">
        <v>437</v>
      </c>
      <c r="J212" s="44"/>
      <c r="K212" s="203">
        <f t="shared" si="6"/>
        <v>8533.74</v>
      </c>
      <c r="L212" s="203">
        <v>8533.74</v>
      </c>
      <c r="M212" s="203"/>
      <c r="N212" s="203">
        <f t="shared" si="7"/>
        <v>4266.84</v>
      </c>
      <c r="O212" s="203">
        <v>4266.84</v>
      </c>
      <c r="P212" s="203"/>
    </row>
    <row r="213" spans="1:16" ht="25.5">
      <c r="A213" s="391">
        <v>660</v>
      </c>
      <c r="B213" s="239">
        <v>500</v>
      </c>
      <c r="C213" s="239">
        <v>0</v>
      </c>
      <c r="D213" s="239">
        <v>0</v>
      </c>
      <c r="E213" s="239">
        <v>0</v>
      </c>
      <c r="F213" s="239">
        <v>0</v>
      </c>
      <c r="G213" s="361" t="s">
        <v>3398</v>
      </c>
      <c r="H213" s="45" t="s">
        <v>438</v>
      </c>
      <c r="I213" s="44" t="s">
        <v>439</v>
      </c>
      <c r="J213" s="44"/>
      <c r="K213" s="203">
        <f t="shared" si="6"/>
        <v>1094.04</v>
      </c>
      <c r="L213" s="203">
        <v>1094.04</v>
      </c>
      <c r="M213" s="203"/>
      <c r="N213" s="203">
        <f t="shared" si="7"/>
        <v>3016.11</v>
      </c>
      <c r="O213" s="203">
        <v>3016.11</v>
      </c>
      <c r="P213" s="203"/>
    </row>
    <row r="214" spans="1:16" ht="25.5">
      <c r="A214" s="391">
        <v>660</v>
      </c>
      <c r="B214" s="239">
        <v>600</v>
      </c>
      <c r="C214" s="239">
        <v>0</v>
      </c>
      <c r="D214" s="239">
        <v>0</v>
      </c>
      <c r="E214" s="239">
        <v>0</v>
      </c>
      <c r="F214" s="239">
        <v>0</v>
      </c>
      <c r="G214" s="361" t="s">
        <v>3399</v>
      </c>
      <c r="H214" s="45" t="s">
        <v>440</v>
      </c>
      <c r="I214" s="44" t="s">
        <v>441</v>
      </c>
      <c r="J214" s="44"/>
      <c r="K214" s="203">
        <f t="shared" si="6"/>
        <v>715845.96</v>
      </c>
      <c r="L214" s="203">
        <v>715845.96</v>
      </c>
      <c r="M214" s="203"/>
      <c r="N214" s="203">
        <f t="shared" si="7"/>
        <v>649625.23</v>
      </c>
      <c r="O214" s="203">
        <v>649625.23</v>
      </c>
      <c r="P214" s="203"/>
    </row>
    <row r="215" spans="1:16" ht="25.5">
      <c r="A215" s="241">
        <v>670</v>
      </c>
      <c r="B215" s="242">
        <v>0</v>
      </c>
      <c r="C215" s="242">
        <v>0</v>
      </c>
      <c r="D215" s="242">
        <v>0</v>
      </c>
      <c r="E215" s="242">
        <v>0</v>
      </c>
      <c r="F215" s="242">
        <v>0</v>
      </c>
      <c r="G215" s="363" t="s">
        <v>3400</v>
      </c>
      <c r="H215" s="54" t="s">
        <v>29</v>
      </c>
      <c r="I215" s="157" t="s">
        <v>442</v>
      </c>
      <c r="J215" s="157"/>
      <c r="K215" s="209">
        <f t="shared" si="6"/>
        <v>24120.9</v>
      </c>
      <c r="L215" s="209">
        <v>24120.9</v>
      </c>
      <c r="M215" s="209"/>
      <c r="N215" s="209">
        <f t="shared" si="7"/>
        <v>27540.19</v>
      </c>
      <c r="O215" s="209">
        <v>27540.19</v>
      </c>
      <c r="P215" s="209"/>
    </row>
    <row r="216" spans="1:16">
      <c r="A216" s="236">
        <v>680</v>
      </c>
      <c r="B216" s="237">
        <v>0</v>
      </c>
      <c r="C216" s="237">
        <v>0</v>
      </c>
      <c r="D216" s="237">
        <v>0</v>
      </c>
      <c r="E216" s="237">
        <v>0</v>
      </c>
      <c r="F216" s="237">
        <v>0</v>
      </c>
      <c r="G216" s="358">
        <v>680</v>
      </c>
      <c r="H216" s="41" t="s">
        <v>30</v>
      </c>
      <c r="I216" s="42" t="s">
        <v>443</v>
      </c>
      <c r="J216" s="42"/>
      <c r="K216" s="205"/>
      <c r="L216" s="205">
        <v>0</v>
      </c>
      <c r="M216" s="205"/>
      <c r="N216" s="205">
        <f t="shared" si="7"/>
        <v>0</v>
      </c>
      <c r="O216" s="205">
        <v>0</v>
      </c>
      <c r="P216" s="205"/>
    </row>
    <row r="217" spans="1:16">
      <c r="A217" s="391">
        <v>680</v>
      </c>
      <c r="B217" s="239">
        <v>100</v>
      </c>
      <c r="C217" s="239">
        <v>0</v>
      </c>
      <c r="D217" s="239">
        <v>0</v>
      </c>
      <c r="E217" s="239">
        <v>0</v>
      </c>
      <c r="F217" s="239">
        <v>0</v>
      </c>
      <c r="G217" s="359" t="s">
        <v>3401</v>
      </c>
      <c r="H217" s="43" t="s">
        <v>444</v>
      </c>
      <c r="I217" s="44" t="s">
        <v>445</v>
      </c>
      <c r="J217" s="44"/>
      <c r="K217" s="413"/>
      <c r="L217" s="413">
        <v>0</v>
      </c>
      <c r="M217" s="413"/>
      <c r="N217" s="413">
        <f t="shared" si="7"/>
        <v>0</v>
      </c>
      <c r="O217" s="413">
        <v>0</v>
      </c>
      <c r="P217" s="413"/>
    </row>
    <row r="218" spans="1:16">
      <c r="A218" s="391">
        <v>680</v>
      </c>
      <c r="B218" s="239">
        <v>100</v>
      </c>
      <c r="C218" s="238">
        <v>100</v>
      </c>
      <c r="D218" s="238">
        <v>0</v>
      </c>
      <c r="E218" s="238">
        <v>0</v>
      </c>
      <c r="F218" s="238">
        <v>0</v>
      </c>
      <c r="G218" s="360" t="s">
        <v>3402</v>
      </c>
      <c r="H218" s="45" t="s">
        <v>446</v>
      </c>
      <c r="I218" s="47"/>
      <c r="J218" s="47"/>
      <c r="K218" s="203">
        <f t="shared" si="6"/>
        <v>0</v>
      </c>
      <c r="L218" s="203">
        <v>0</v>
      </c>
      <c r="M218" s="203"/>
      <c r="N218" s="203">
        <f t="shared" si="7"/>
        <v>0</v>
      </c>
      <c r="O218" s="203">
        <v>0</v>
      </c>
      <c r="P218" s="203"/>
    </row>
    <row r="219" spans="1:16" ht="25.5">
      <c r="A219" s="391">
        <v>680</v>
      </c>
      <c r="B219" s="239">
        <v>100</v>
      </c>
      <c r="C219" s="238">
        <v>200</v>
      </c>
      <c r="D219" s="238">
        <v>0</v>
      </c>
      <c r="E219" s="238">
        <v>0</v>
      </c>
      <c r="F219" s="238">
        <v>0</v>
      </c>
      <c r="G219" s="360" t="s">
        <v>3403</v>
      </c>
      <c r="H219" s="45" t="s">
        <v>447</v>
      </c>
      <c r="I219" s="47"/>
      <c r="J219" s="47"/>
      <c r="K219" s="203">
        <f t="shared" si="6"/>
        <v>0</v>
      </c>
      <c r="L219" s="203">
        <v>0</v>
      </c>
      <c r="M219" s="203"/>
      <c r="N219" s="203">
        <f t="shared" si="7"/>
        <v>0</v>
      </c>
      <c r="O219" s="203">
        <v>0</v>
      </c>
      <c r="P219" s="203"/>
    </row>
    <row r="220" spans="1:16">
      <c r="A220" s="391">
        <v>680</v>
      </c>
      <c r="B220" s="239">
        <v>100</v>
      </c>
      <c r="C220" s="238">
        <v>900</v>
      </c>
      <c r="D220" s="238">
        <v>0</v>
      </c>
      <c r="E220" s="238">
        <v>0</v>
      </c>
      <c r="F220" s="238">
        <v>0</v>
      </c>
      <c r="G220" s="360" t="s">
        <v>3404</v>
      </c>
      <c r="H220" s="45" t="s">
        <v>448</v>
      </c>
      <c r="I220" s="47"/>
      <c r="J220" s="47"/>
      <c r="K220" s="203">
        <f t="shared" si="6"/>
        <v>0</v>
      </c>
      <c r="L220" s="203">
        <v>0</v>
      </c>
      <c r="M220" s="203"/>
      <c r="N220" s="203">
        <f t="shared" si="7"/>
        <v>0</v>
      </c>
      <c r="O220" s="203">
        <v>0</v>
      </c>
      <c r="P220" s="203"/>
    </row>
    <row r="221" spans="1:16">
      <c r="A221" s="391">
        <v>680</v>
      </c>
      <c r="B221" s="239">
        <v>200</v>
      </c>
      <c r="C221" s="239">
        <v>0</v>
      </c>
      <c r="D221" s="239">
        <v>0</v>
      </c>
      <c r="E221" s="239">
        <v>0</v>
      </c>
      <c r="F221" s="239">
        <v>0</v>
      </c>
      <c r="G221" s="359" t="s">
        <v>3405</v>
      </c>
      <c r="H221" s="43" t="s">
        <v>449</v>
      </c>
      <c r="I221" s="44" t="s">
        <v>450</v>
      </c>
      <c r="J221" s="44"/>
      <c r="K221" s="413"/>
      <c r="L221" s="413">
        <v>0</v>
      </c>
      <c r="M221" s="413"/>
      <c r="N221" s="413">
        <f t="shared" si="7"/>
        <v>0</v>
      </c>
      <c r="O221" s="413">
        <v>0</v>
      </c>
      <c r="P221" s="413"/>
    </row>
    <row r="222" spans="1:16">
      <c r="A222" s="391">
        <v>680</v>
      </c>
      <c r="B222" s="239">
        <v>200</v>
      </c>
      <c r="C222" s="238">
        <v>100</v>
      </c>
      <c r="D222" s="238">
        <v>0</v>
      </c>
      <c r="E222" s="238">
        <v>0</v>
      </c>
      <c r="F222" s="238">
        <v>0</v>
      </c>
      <c r="G222" s="360" t="s">
        <v>3406</v>
      </c>
      <c r="H222" s="45" t="s">
        <v>451</v>
      </c>
      <c r="I222" s="47"/>
      <c r="J222" s="47"/>
      <c r="K222" s="203">
        <f t="shared" si="6"/>
        <v>0</v>
      </c>
      <c r="L222" s="203">
        <v>0</v>
      </c>
      <c r="M222" s="203"/>
      <c r="N222" s="203">
        <f t="shared" si="7"/>
        <v>0</v>
      </c>
      <c r="O222" s="203">
        <v>0</v>
      </c>
      <c r="P222" s="203"/>
    </row>
    <row r="223" spans="1:16">
      <c r="A223" s="391">
        <v>680</v>
      </c>
      <c r="B223" s="239">
        <v>200</v>
      </c>
      <c r="C223" s="238">
        <v>200</v>
      </c>
      <c r="D223" s="238">
        <v>0</v>
      </c>
      <c r="E223" s="238">
        <v>0</v>
      </c>
      <c r="F223" s="238">
        <v>0</v>
      </c>
      <c r="G223" s="360" t="s">
        <v>3407</v>
      </c>
      <c r="H223" s="45" t="s">
        <v>452</v>
      </c>
      <c r="I223" s="47"/>
      <c r="J223" s="47"/>
      <c r="K223" s="203">
        <f t="shared" si="6"/>
        <v>0</v>
      </c>
      <c r="L223" s="203">
        <v>0</v>
      </c>
      <c r="M223" s="203"/>
      <c r="N223" s="203">
        <f t="shared" si="7"/>
        <v>0</v>
      </c>
      <c r="O223" s="203">
        <v>0</v>
      </c>
      <c r="P223" s="203"/>
    </row>
    <row r="224" spans="1:16" ht="25.5">
      <c r="A224" s="391">
        <v>680</v>
      </c>
      <c r="B224" s="239">
        <v>200</v>
      </c>
      <c r="C224" s="238">
        <v>900</v>
      </c>
      <c r="D224" s="238">
        <v>0</v>
      </c>
      <c r="E224" s="238">
        <v>0</v>
      </c>
      <c r="F224" s="238">
        <v>0</v>
      </c>
      <c r="G224" s="360" t="s">
        <v>3408</v>
      </c>
      <c r="H224" s="45" t="s">
        <v>453</v>
      </c>
      <c r="I224" s="47"/>
      <c r="J224" s="47"/>
      <c r="K224" s="203">
        <f t="shared" si="6"/>
        <v>0</v>
      </c>
      <c r="L224" s="203">
        <v>0</v>
      </c>
      <c r="M224" s="203"/>
      <c r="N224" s="203">
        <f t="shared" si="7"/>
        <v>0</v>
      </c>
      <c r="O224" s="203">
        <v>0</v>
      </c>
      <c r="P224" s="203"/>
    </row>
    <row r="225" spans="1:16">
      <c r="A225" s="391">
        <v>680</v>
      </c>
      <c r="B225" s="392">
        <v>300</v>
      </c>
      <c r="C225" s="239">
        <v>0</v>
      </c>
      <c r="D225" s="239">
        <v>0</v>
      </c>
      <c r="E225" s="239">
        <v>0</v>
      </c>
      <c r="F225" s="239">
        <v>0</v>
      </c>
      <c r="G225" s="364" t="s">
        <v>3409</v>
      </c>
      <c r="H225" s="48" t="s">
        <v>454</v>
      </c>
      <c r="I225" s="44" t="s">
        <v>455</v>
      </c>
      <c r="J225" s="44"/>
      <c r="K225" s="413"/>
      <c r="L225" s="413">
        <v>0</v>
      </c>
      <c r="M225" s="413"/>
      <c r="N225" s="413">
        <f t="shared" si="7"/>
        <v>0</v>
      </c>
      <c r="O225" s="413">
        <v>0</v>
      </c>
      <c r="P225" s="413"/>
    </row>
    <row r="226" spans="1:16" ht="25.5">
      <c r="A226" s="391">
        <v>680</v>
      </c>
      <c r="B226" s="392">
        <v>300</v>
      </c>
      <c r="C226" s="238">
        <v>100</v>
      </c>
      <c r="D226" s="238">
        <v>0</v>
      </c>
      <c r="E226" s="238">
        <v>0</v>
      </c>
      <c r="F226" s="238">
        <v>0</v>
      </c>
      <c r="G226" s="360" t="s">
        <v>3410</v>
      </c>
      <c r="H226" s="45" t="s">
        <v>456</v>
      </c>
      <c r="I226" s="47"/>
      <c r="J226" s="47"/>
      <c r="K226" s="203">
        <f t="shared" si="6"/>
        <v>0</v>
      </c>
      <c r="L226" s="203">
        <v>0</v>
      </c>
      <c r="M226" s="203"/>
      <c r="N226" s="203">
        <f t="shared" si="7"/>
        <v>0</v>
      </c>
      <c r="O226" s="203">
        <v>0</v>
      </c>
      <c r="P226" s="203"/>
    </row>
    <row r="227" spans="1:16">
      <c r="A227" s="391">
        <v>680</v>
      </c>
      <c r="B227" s="392">
        <v>300</v>
      </c>
      <c r="C227" s="238">
        <v>200</v>
      </c>
      <c r="D227" s="238">
        <v>0</v>
      </c>
      <c r="E227" s="238">
        <v>0</v>
      </c>
      <c r="F227" s="238">
        <v>0</v>
      </c>
      <c r="G227" s="360" t="s">
        <v>3411</v>
      </c>
      <c r="H227" s="45" t="s">
        <v>457</v>
      </c>
      <c r="I227" s="47"/>
      <c r="J227" s="47"/>
      <c r="K227" s="203">
        <f t="shared" si="6"/>
        <v>0</v>
      </c>
      <c r="L227" s="203">
        <v>0</v>
      </c>
      <c r="M227" s="203"/>
      <c r="N227" s="203">
        <f t="shared" si="7"/>
        <v>0</v>
      </c>
      <c r="O227" s="203">
        <v>0</v>
      </c>
      <c r="P227" s="203"/>
    </row>
    <row r="228" spans="1:16">
      <c r="A228" s="391">
        <v>680</v>
      </c>
      <c r="B228" s="239">
        <v>300</v>
      </c>
      <c r="C228" s="238">
        <v>900</v>
      </c>
      <c r="D228" s="238">
        <v>0</v>
      </c>
      <c r="E228" s="238">
        <v>0</v>
      </c>
      <c r="F228" s="238">
        <v>0</v>
      </c>
      <c r="G228" s="360" t="s">
        <v>3412</v>
      </c>
      <c r="H228" s="45" t="s">
        <v>454</v>
      </c>
      <c r="I228" s="47"/>
      <c r="J228" s="47"/>
      <c r="K228" s="203">
        <f t="shared" si="6"/>
        <v>108449.96</v>
      </c>
      <c r="L228" s="203">
        <v>108449.96</v>
      </c>
      <c r="M228" s="203"/>
      <c r="N228" s="203">
        <f t="shared" si="7"/>
        <v>122631.07</v>
      </c>
      <c r="O228" s="203">
        <v>122631.07</v>
      </c>
      <c r="P228" s="203"/>
    </row>
    <row r="229" spans="1:16">
      <c r="A229" s="236">
        <v>690</v>
      </c>
      <c r="B229" s="237">
        <v>0</v>
      </c>
      <c r="C229" s="237">
        <v>0</v>
      </c>
      <c r="D229" s="237">
        <v>0</v>
      </c>
      <c r="E229" s="237">
        <v>0</v>
      </c>
      <c r="F229" s="237">
        <v>0</v>
      </c>
      <c r="G229" s="358">
        <v>690</v>
      </c>
      <c r="H229" s="41" t="s">
        <v>458</v>
      </c>
      <c r="I229" s="42" t="s">
        <v>459</v>
      </c>
      <c r="J229" s="42"/>
      <c r="K229" s="205"/>
      <c r="L229" s="205">
        <v>0</v>
      </c>
      <c r="M229" s="205"/>
      <c r="N229" s="205">
        <f t="shared" si="7"/>
        <v>0</v>
      </c>
      <c r="O229" s="205">
        <v>0</v>
      </c>
      <c r="P229" s="205"/>
    </row>
    <row r="230" spans="1:16">
      <c r="A230" s="393">
        <v>690</v>
      </c>
      <c r="B230" s="238">
        <v>100</v>
      </c>
      <c r="C230" s="238">
        <v>0</v>
      </c>
      <c r="D230" s="238">
        <v>0</v>
      </c>
      <c r="E230" s="238">
        <v>0</v>
      </c>
      <c r="F230" s="238">
        <v>0</v>
      </c>
      <c r="G230" s="360" t="s">
        <v>3413</v>
      </c>
      <c r="H230" s="45" t="s">
        <v>460</v>
      </c>
      <c r="I230" s="47" t="s">
        <v>461</v>
      </c>
      <c r="J230" s="47"/>
      <c r="K230" s="203">
        <f t="shared" si="6"/>
        <v>0.06</v>
      </c>
      <c r="L230" s="203">
        <v>0.06</v>
      </c>
      <c r="M230" s="203"/>
      <c r="N230" s="203">
        <f t="shared" si="7"/>
        <v>0</v>
      </c>
      <c r="O230" s="203">
        <v>0</v>
      </c>
      <c r="P230" s="203"/>
    </row>
    <row r="231" spans="1:16">
      <c r="A231" s="393">
        <v>690</v>
      </c>
      <c r="B231" s="238">
        <v>200</v>
      </c>
      <c r="C231" s="238">
        <v>0</v>
      </c>
      <c r="D231" s="238">
        <v>0</v>
      </c>
      <c r="E231" s="238">
        <v>0</v>
      </c>
      <c r="F231" s="238">
        <v>0</v>
      </c>
      <c r="G231" s="362" t="s">
        <v>3414</v>
      </c>
      <c r="H231" s="43" t="s">
        <v>462</v>
      </c>
      <c r="I231" s="47" t="s">
        <v>463</v>
      </c>
      <c r="J231" s="47"/>
      <c r="K231" s="413"/>
      <c r="L231" s="413">
        <v>0</v>
      </c>
      <c r="M231" s="413"/>
      <c r="N231" s="413">
        <f t="shared" si="7"/>
        <v>0</v>
      </c>
      <c r="O231" s="413">
        <v>0</v>
      </c>
      <c r="P231" s="413"/>
    </row>
    <row r="232" spans="1:16">
      <c r="A232" s="393">
        <v>690</v>
      </c>
      <c r="B232" s="238">
        <v>200</v>
      </c>
      <c r="C232" s="238">
        <v>100</v>
      </c>
      <c r="D232" s="238">
        <v>0</v>
      </c>
      <c r="E232" s="238">
        <v>0</v>
      </c>
      <c r="F232" s="238">
        <v>0</v>
      </c>
      <c r="G232" s="360" t="s">
        <v>3415</v>
      </c>
      <c r="H232" s="49" t="s">
        <v>464</v>
      </c>
      <c r="I232" s="47"/>
      <c r="J232" s="47"/>
      <c r="K232" s="203">
        <f t="shared" si="6"/>
        <v>841.14</v>
      </c>
      <c r="L232" s="203">
        <v>841.14</v>
      </c>
      <c r="M232" s="203"/>
      <c r="N232" s="203">
        <f t="shared" si="7"/>
        <v>0</v>
      </c>
      <c r="O232" s="203">
        <v>0</v>
      </c>
      <c r="P232" s="203"/>
    </row>
    <row r="233" spans="1:16">
      <c r="A233" s="393">
        <v>690</v>
      </c>
      <c r="B233" s="238">
        <v>200</v>
      </c>
      <c r="C233" s="243">
        <v>200</v>
      </c>
      <c r="D233" s="243">
        <v>0</v>
      </c>
      <c r="E233" s="243">
        <v>0</v>
      </c>
      <c r="F233" s="243">
        <v>0</v>
      </c>
      <c r="G233" s="365" t="s">
        <v>3416</v>
      </c>
      <c r="H233" s="50" t="s">
        <v>465</v>
      </c>
      <c r="I233" s="47"/>
      <c r="J233" s="47"/>
      <c r="K233" s="203">
        <f t="shared" si="6"/>
        <v>0</v>
      </c>
      <c r="L233" s="203">
        <v>0</v>
      </c>
      <c r="M233" s="203"/>
      <c r="N233" s="203">
        <f t="shared" si="7"/>
        <v>108.09</v>
      </c>
      <c r="O233" s="203">
        <v>108.09</v>
      </c>
      <c r="P233" s="203"/>
    </row>
    <row r="234" spans="1:16">
      <c r="A234" s="393">
        <v>690</v>
      </c>
      <c r="B234" s="238">
        <v>300</v>
      </c>
      <c r="C234" s="238">
        <v>0</v>
      </c>
      <c r="D234" s="238">
        <v>0</v>
      </c>
      <c r="E234" s="238">
        <v>0</v>
      </c>
      <c r="F234" s="238">
        <v>0</v>
      </c>
      <c r="G234" s="362" t="s">
        <v>3417</v>
      </c>
      <c r="H234" s="43" t="s">
        <v>466</v>
      </c>
      <c r="I234" s="47" t="s">
        <v>467</v>
      </c>
      <c r="J234" s="47"/>
      <c r="K234" s="413"/>
      <c r="L234" s="413">
        <v>0</v>
      </c>
      <c r="M234" s="413"/>
      <c r="N234" s="413">
        <f t="shared" si="7"/>
        <v>0</v>
      </c>
      <c r="O234" s="413">
        <v>0</v>
      </c>
      <c r="P234" s="413"/>
    </row>
    <row r="235" spans="1:16">
      <c r="A235" s="393">
        <v>690</v>
      </c>
      <c r="B235" s="238">
        <v>300</v>
      </c>
      <c r="C235" s="238">
        <v>100</v>
      </c>
      <c r="D235" s="238">
        <v>0</v>
      </c>
      <c r="E235" s="238">
        <v>0</v>
      </c>
      <c r="F235" s="238">
        <v>0</v>
      </c>
      <c r="G235" s="360" t="s">
        <v>3418</v>
      </c>
      <c r="H235" s="49" t="s">
        <v>468</v>
      </c>
      <c r="I235" s="47"/>
      <c r="J235" s="47"/>
      <c r="K235" s="203">
        <f t="shared" si="6"/>
        <v>0</v>
      </c>
      <c r="L235" s="203">
        <v>0</v>
      </c>
      <c r="M235" s="203"/>
      <c r="N235" s="203">
        <f t="shared" si="7"/>
        <v>0</v>
      </c>
      <c r="O235" s="203">
        <v>0</v>
      </c>
      <c r="P235" s="203"/>
    </row>
    <row r="236" spans="1:16">
      <c r="A236" s="393">
        <v>690</v>
      </c>
      <c r="B236" s="238">
        <v>300</v>
      </c>
      <c r="C236" s="238">
        <v>200</v>
      </c>
      <c r="D236" s="238">
        <v>0</v>
      </c>
      <c r="E236" s="238">
        <v>0</v>
      </c>
      <c r="F236" s="238">
        <v>0</v>
      </c>
      <c r="G236" s="360" t="s">
        <v>3419</v>
      </c>
      <c r="H236" s="49" t="s">
        <v>469</v>
      </c>
      <c r="I236" s="47"/>
      <c r="J236" s="47"/>
      <c r="K236" s="203">
        <f t="shared" si="6"/>
        <v>0</v>
      </c>
      <c r="L236" s="203">
        <v>0</v>
      </c>
      <c r="M236" s="203"/>
      <c r="N236" s="203">
        <f t="shared" si="7"/>
        <v>106.51</v>
      </c>
      <c r="O236" s="203">
        <v>106.51</v>
      </c>
      <c r="P236" s="203"/>
    </row>
    <row r="237" spans="1:16">
      <c r="A237" s="394">
        <v>690</v>
      </c>
      <c r="B237" s="395">
        <v>300</v>
      </c>
      <c r="C237" s="243">
        <v>900</v>
      </c>
      <c r="D237" s="243">
        <v>0</v>
      </c>
      <c r="E237" s="243">
        <v>0</v>
      </c>
      <c r="F237" s="243">
        <v>0</v>
      </c>
      <c r="G237" s="365" t="s">
        <v>3420</v>
      </c>
      <c r="H237" s="50" t="s">
        <v>466</v>
      </c>
      <c r="I237" s="47"/>
      <c r="J237" s="47"/>
      <c r="K237" s="203">
        <f t="shared" si="6"/>
        <v>0</v>
      </c>
      <c r="L237" s="203">
        <v>0</v>
      </c>
      <c r="M237" s="203"/>
      <c r="N237" s="203">
        <f t="shared" si="7"/>
        <v>0</v>
      </c>
      <c r="O237" s="203">
        <v>0</v>
      </c>
      <c r="P237" s="203"/>
    </row>
    <row r="238" spans="1:16">
      <c r="A238" s="244">
        <v>700</v>
      </c>
      <c r="B238" s="245">
        <v>0</v>
      </c>
      <c r="C238" s="245">
        <v>0</v>
      </c>
      <c r="D238" s="245">
        <v>0</v>
      </c>
      <c r="E238" s="245">
        <v>0</v>
      </c>
      <c r="F238" s="245">
        <v>0</v>
      </c>
      <c r="G238" s="366">
        <v>700</v>
      </c>
      <c r="H238" s="41" t="s">
        <v>470</v>
      </c>
      <c r="I238" s="42" t="s">
        <v>471</v>
      </c>
      <c r="J238" s="42"/>
      <c r="K238" s="205"/>
      <c r="L238" s="205">
        <v>0</v>
      </c>
      <c r="M238" s="205"/>
      <c r="N238" s="205">
        <f t="shared" si="7"/>
        <v>0</v>
      </c>
      <c r="O238" s="205">
        <v>0</v>
      </c>
      <c r="P238" s="205"/>
    </row>
    <row r="239" spans="1:16">
      <c r="A239" s="393">
        <v>700</v>
      </c>
      <c r="B239" s="238">
        <v>100</v>
      </c>
      <c r="C239" s="238">
        <v>0</v>
      </c>
      <c r="D239" s="238">
        <v>0</v>
      </c>
      <c r="E239" s="238">
        <v>0</v>
      </c>
      <c r="F239" s="238">
        <v>0</v>
      </c>
      <c r="G239" s="360" t="s">
        <v>3421</v>
      </c>
      <c r="H239" s="45" t="s">
        <v>472</v>
      </c>
      <c r="I239" s="47" t="s">
        <v>473</v>
      </c>
      <c r="J239" s="47"/>
      <c r="K239" s="203">
        <f t="shared" si="6"/>
        <v>0</v>
      </c>
      <c r="L239" s="203">
        <v>0</v>
      </c>
      <c r="M239" s="203"/>
      <c r="N239" s="203">
        <f t="shared" si="7"/>
        <v>0</v>
      </c>
      <c r="O239" s="203">
        <v>0</v>
      </c>
      <c r="P239" s="203"/>
    </row>
    <row r="240" spans="1:16" ht="25.5">
      <c r="A240" s="393">
        <v>700</v>
      </c>
      <c r="B240" s="238">
        <v>200</v>
      </c>
      <c r="C240" s="238">
        <v>0</v>
      </c>
      <c r="D240" s="238">
        <v>0</v>
      </c>
      <c r="E240" s="238">
        <v>0</v>
      </c>
      <c r="F240" s="238">
        <v>0</v>
      </c>
      <c r="G240" s="360" t="s">
        <v>3422</v>
      </c>
      <c r="H240" s="45" t="s">
        <v>474</v>
      </c>
      <c r="I240" s="47" t="s">
        <v>475</v>
      </c>
      <c r="J240" s="47"/>
      <c r="K240" s="203">
        <f t="shared" si="6"/>
        <v>0</v>
      </c>
      <c r="L240" s="203">
        <v>0</v>
      </c>
      <c r="M240" s="203"/>
      <c r="N240" s="203">
        <f t="shared" si="7"/>
        <v>0</v>
      </c>
      <c r="O240" s="203">
        <v>0</v>
      </c>
      <c r="P240" s="203"/>
    </row>
    <row r="241" spans="1:97" ht="25.5">
      <c r="A241" s="393">
        <v>700</v>
      </c>
      <c r="B241" s="238">
        <v>300</v>
      </c>
      <c r="C241" s="238">
        <v>0</v>
      </c>
      <c r="D241" s="238">
        <v>0</v>
      </c>
      <c r="E241" s="238">
        <v>0</v>
      </c>
      <c r="F241" s="238">
        <v>0</v>
      </c>
      <c r="G241" s="360" t="s">
        <v>3423</v>
      </c>
      <c r="H241" s="45" t="s">
        <v>476</v>
      </c>
      <c r="I241" s="47" t="s">
        <v>477</v>
      </c>
      <c r="J241" s="47"/>
      <c r="K241" s="203">
        <f t="shared" si="6"/>
        <v>0</v>
      </c>
      <c r="L241" s="203">
        <v>0</v>
      </c>
      <c r="M241" s="203"/>
      <c r="N241" s="203">
        <f t="shared" si="7"/>
        <v>0</v>
      </c>
      <c r="O241" s="203">
        <v>0</v>
      </c>
      <c r="P241" s="203"/>
    </row>
    <row r="242" spans="1:97">
      <c r="A242" s="393">
        <v>700</v>
      </c>
      <c r="B242" s="238">
        <v>400</v>
      </c>
      <c r="C242" s="238">
        <v>0</v>
      </c>
      <c r="D242" s="238">
        <v>0</v>
      </c>
      <c r="E242" s="238">
        <v>0</v>
      </c>
      <c r="F242" s="238">
        <v>0</v>
      </c>
      <c r="G242" s="360" t="s">
        <v>3424</v>
      </c>
      <c r="H242" s="45" t="s">
        <v>478</v>
      </c>
      <c r="I242" s="47" t="s">
        <v>479</v>
      </c>
      <c r="J242" s="47"/>
      <c r="K242" s="203">
        <f t="shared" si="6"/>
        <v>0</v>
      </c>
      <c r="L242" s="203">
        <v>0</v>
      </c>
      <c r="M242" s="203"/>
      <c r="N242" s="203">
        <f t="shared" si="7"/>
        <v>0</v>
      </c>
      <c r="O242" s="203">
        <v>0</v>
      </c>
      <c r="P242" s="203"/>
    </row>
    <row r="243" spans="1:97">
      <c r="A243" s="393">
        <v>700</v>
      </c>
      <c r="B243" s="238">
        <v>500</v>
      </c>
      <c r="C243" s="238">
        <v>0</v>
      </c>
      <c r="D243" s="238">
        <v>0</v>
      </c>
      <c r="E243" s="238">
        <v>0</v>
      </c>
      <c r="F243" s="238">
        <v>0</v>
      </c>
      <c r="G243" s="360" t="s">
        <v>3425</v>
      </c>
      <c r="H243" s="45" t="s">
        <v>480</v>
      </c>
      <c r="I243" s="47" t="s">
        <v>481</v>
      </c>
      <c r="J243" s="47"/>
      <c r="K243" s="203">
        <f t="shared" si="6"/>
        <v>0</v>
      </c>
      <c r="L243" s="203">
        <v>0</v>
      </c>
      <c r="M243" s="203"/>
      <c r="N243" s="203">
        <f t="shared" si="7"/>
        <v>0</v>
      </c>
      <c r="O243" s="203">
        <v>0</v>
      </c>
      <c r="P243" s="203"/>
    </row>
    <row r="244" spans="1:97" ht="25.5">
      <c r="A244" s="241">
        <v>710</v>
      </c>
      <c r="B244" s="242">
        <v>0</v>
      </c>
      <c r="C244" s="242">
        <v>0</v>
      </c>
      <c r="D244" s="242">
        <v>0</v>
      </c>
      <c r="E244" s="242">
        <v>0</v>
      </c>
      <c r="F244" s="242">
        <v>0</v>
      </c>
      <c r="G244" s="363" t="s">
        <v>3426</v>
      </c>
      <c r="H244" s="54" t="s">
        <v>482</v>
      </c>
      <c r="I244" s="157" t="s">
        <v>483</v>
      </c>
      <c r="J244" s="157"/>
      <c r="K244" s="209">
        <f t="shared" si="6"/>
        <v>0</v>
      </c>
      <c r="L244" s="209">
        <v>0</v>
      </c>
      <c r="M244" s="209"/>
      <c r="N244" s="209">
        <f t="shared" si="7"/>
        <v>0</v>
      </c>
      <c r="O244" s="209">
        <v>0</v>
      </c>
      <c r="P244" s="209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  <c r="BI244" s="40"/>
      <c r="BJ244" s="40"/>
      <c r="BK244" s="40"/>
      <c r="BL244" s="40"/>
      <c r="BM244" s="40"/>
      <c r="BN244" s="40"/>
      <c r="BO244" s="40"/>
      <c r="BP244" s="40"/>
      <c r="BQ244" s="40"/>
      <c r="BR244" s="40"/>
      <c r="BS244" s="40"/>
      <c r="BT244" s="40"/>
      <c r="BU244" s="40"/>
      <c r="BV244" s="40"/>
      <c r="BW244" s="40"/>
      <c r="BX244" s="40"/>
      <c r="BY244" s="40"/>
      <c r="BZ244" s="40"/>
      <c r="CA244" s="40"/>
      <c r="CB244" s="40"/>
      <c r="CC244" s="40"/>
      <c r="CD244" s="40"/>
      <c r="CE244" s="40"/>
      <c r="CF244" s="40"/>
      <c r="CG244" s="40"/>
      <c r="CH244" s="40"/>
      <c r="CI244" s="40"/>
      <c r="CJ244" s="40"/>
      <c r="CK244" s="40"/>
      <c r="CL244" s="40"/>
      <c r="CM244" s="40"/>
      <c r="CN244" s="40"/>
      <c r="CO244" s="40"/>
      <c r="CP244" s="40"/>
      <c r="CQ244" s="40"/>
      <c r="CR244" s="40"/>
      <c r="CS244" s="40"/>
    </row>
    <row r="245" spans="1:97">
      <c r="A245" s="236">
        <v>720</v>
      </c>
      <c r="B245" s="237">
        <v>0</v>
      </c>
      <c r="C245" s="237">
        <v>0</v>
      </c>
      <c r="D245" s="237">
        <v>0</v>
      </c>
      <c r="E245" s="237">
        <v>0</v>
      </c>
      <c r="F245" s="237">
        <v>0</v>
      </c>
      <c r="G245" s="358">
        <v>720</v>
      </c>
      <c r="H245" s="41" t="s">
        <v>98</v>
      </c>
      <c r="I245" s="42" t="s">
        <v>484</v>
      </c>
      <c r="J245" s="42"/>
      <c r="K245" s="205"/>
      <c r="L245" s="205">
        <v>0</v>
      </c>
      <c r="M245" s="205"/>
      <c r="N245" s="205">
        <f t="shared" si="7"/>
        <v>0</v>
      </c>
      <c r="O245" s="205">
        <v>0</v>
      </c>
      <c r="P245" s="205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40"/>
      <c r="BN245" s="40"/>
      <c r="BO245" s="40"/>
      <c r="BP245" s="40"/>
      <c r="BQ245" s="40"/>
      <c r="BR245" s="40"/>
      <c r="BS245" s="40"/>
      <c r="BT245" s="40"/>
      <c r="BU245" s="40"/>
      <c r="BV245" s="40"/>
      <c r="BW245" s="40"/>
      <c r="BX245" s="40"/>
      <c r="BY245" s="40"/>
      <c r="BZ245" s="40"/>
      <c r="CA245" s="40"/>
      <c r="CB245" s="40"/>
      <c r="CC245" s="40"/>
      <c r="CD245" s="40"/>
      <c r="CE245" s="40"/>
      <c r="CF245" s="40"/>
      <c r="CG245" s="40"/>
      <c r="CH245" s="40"/>
      <c r="CI245" s="40"/>
      <c r="CJ245" s="40"/>
      <c r="CK245" s="40"/>
      <c r="CL245" s="40"/>
      <c r="CM245" s="40"/>
      <c r="CN245" s="40"/>
      <c r="CO245" s="40"/>
      <c r="CP245" s="40"/>
      <c r="CQ245" s="40"/>
      <c r="CR245" s="40"/>
      <c r="CS245" s="40"/>
    </row>
    <row r="246" spans="1:97">
      <c r="A246" s="393">
        <v>720</v>
      </c>
      <c r="B246" s="238">
        <v>100</v>
      </c>
      <c r="C246" s="238">
        <v>0</v>
      </c>
      <c r="D246" s="238">
        <v>0</v>
      </c>
      <c r="E246" s="238">
        <v>0</v>
      </c>
      <c r="F246" s="238">
        <v>0</v>
      </c>
      <c r="G246" s="360" t="s">
        <v>3427</v>
      </c>
      <c r="H246" s="45" t="s">
        <v>485</v>
      </c>
      <c r="I246" s="47" t="s">
        <v>486</v>
      </c>
      <c r="J246" s="47"/>
      <c r="K246" s="203">
        <f t="shared" si="6"/>
        <v>0</v>
      </c>
      <c r="L246" s="203">
        <v>0</v>
      </c>
      <c r="M246" s="203"/>
      <c r="N246" s="203">
        <f t="shared" si="7"/>
        <v>0</v>
      </c>
      <c r="O246" s="203">
        <v>0</v>
      </c>
      <c r="P246" s="203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L246" s="40"/>
      <c r="BM246" s="40"/>
      <c r="BN246" s="40"/>
      <c r="BO246" s="40"/>
      <c r="BP246" s="40"/>
      <c r="BQ246" s="40"/>
      <c r="BR246" s="40"/>
      <c r="BS246" s="40"/>
      <c r="BT246" s="40"/>
      <c r="BU246" s="40"/>
      <c r="BV246" s="40"/>
      <c r="BW246" s="40"/>
      <c r="BX246" s="40"/>
      <c r="BY246" s="40"/>
      <c r="BZ246" s="40"/>
      <c r="CA246" s="40"/>
      <c r="CB246" s="40"/>
      <c r="CC246" s="40"/>
      <c r="CD246" s="40"/>
      <c r="CE246" s="40"/>
      <c r="CF246" s="40"/>
      <c r="CG246" s="40"/>
      <c r="CH246" s="40"/>
      <c r="CI246" s="40"/>
      <c r="CJ246" s="40"/>
      <c r="CK246" s="40"/>
      <c r="CL246" s="40"/>
      <c r="CM246" s="40"/>
      <c r="CN246" s="40"/>
      <c r="CO246" s="40"/>
      <c r="CP246" s="40"/>
      <c r="CQ246" s="40"/>
      <c r="CR246" s="40"/>
      <c r="CS246" s="40"/>
    </row>
    <row r="247" spans="1:97">
      <c r="A247" s="393">
        <v>720</v>
      </c>
      <c r="B247" s="238">
        <v>200</v>
      </c>
      <c r="C247" s="238">
        <v>0</v>
      </c>
      <c r="D247" s="238">
        <v>0</v>
      </c>
      <c r="E247" s="238">
        <v>0</v>
      </c>
      <c r="F247" s="238">
        <v>0</v>
      </c>
      <c r="G247" s="362" t="s">
        <v>3428</v>
      </c>
      <c r="H247" s="43" t="s">
        <v>487</v>
      </c>
      <c r="I247" s="47" t="s">
        <v>488</v>
      </c>
      <c r="J247" s="47"/>
      <c r="K247" s="413"/>
      <c r="L247" s="413">
        <v>0</v>
      </c>
      <c r="M247" s="413"/>
      <c r="N247" s="413">
        <f t="shared" si="7"/>
        <v>0</v>
      </c>
      <c r="O247" s="413">
        <v>0</v>
      </c>
      <c r="P247" s="413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L247" s="40"/>
      <c r="BM247" s="40"/>
      <c r="BN247" s="40"/>
      <c r="BO247" s="40"/>
      <c r="BP247" s="40"/>
      <c r="BQ247" s="40"/>
      <c r="BR247" s="40"/>
      <c r="BS247" s="40"/>
      <c r="BT247" s="40"/>
      <c r="BU247" s="40"/>
      <c r="BV247" s="40"/>
      <c r="BW247" s="40"/>
      <c r="BX247" s="40"/>
      <c r="BY247" s="40"/>
      <c r="BZ247" s="40"/>
      <c r="CA247" s="40"/>
      <c r="CB247" s="40"/>
      <c r="CC247" s="40"/>
      <c r="CD247" s="40"/>
      <c r="CE247" s="40"/>
      <c r="CF247" s="40"/>
      <c r="CG247" s="40"/>
      <c r="CH247" s="40"/>
      <c r="CI247" s="40"/>
      <c r="CJ247" s="40"/>
      <c r="CK247" s="40"/>
      <c r="CL247" s="40"/>
      <c r="CM247" s="40"/>
      <c r="CN247" s="40"/>
      <c r="CO247" s="40"/>
      <c r="CP247" s="40"/>
      <c r="CQ247" s="40"/>
      <c r="CR247" s="40"/>
      <c r="CS247" s="40"/>
    </row>
    <row r="248" spans="1:97">
      <c r="A248" s="393">
        <v>720</v>
      </c>
      <c r="B248" s="238">
        <v>200</v>
      </c>
      <c r="C248" s="238">
        <v>100</v>
      </c>
      <c r="D248" s="238">
        <v>0</v>
      </c>
      <c r="E248" s="238">
        <v>0</v>
      </c>
      <c r="F248" s="238">
        <v>0</v>
      </c>
      <c r="G248" s="362" t="s">
        <v>3429</v>
      </c>
      <c r="H248" s="43" t="s">
        <v>489</v>
      </c>
      <c r="I248" s="47" t="s">
        <v>490</v>
      </c>
      <c r="J248" s="47"/>
      <c r="K248" s="203">
        <f t="shared" si="6"/>
        <v>53415.07</v>
      </c>
      <c r="L248" s="203">
        <v>53415.07</v>
      </c>
      <c r="M248" s="203"/>
      <c r="N248" s="203">
        <f t="shared" si="7"/>
        <v>39257.15</v>
      </c>
      <c r="O248" s="203">
        <v>39257.15</v>
      </c>
      <c r="P248" s="203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40"/>
      <c r="BN248" s="40"/>
      <c r="BO248" s="40"/>
      <c r="BP248" s="40"/>
      <c r="BQ248" s="40"/>
      <c r="BR248" s="40"/>
      <c r="BS248" s="40"/>
      <c r="BT248" s="40"/>
      <c r="BU248" s="40"/>
      <c r="BV248" s="40"/>
      <c r="BW248" s="40"/>
      <c r="BX248" s="40"/>
      <c r="BY248" s="40"/>
      <c r="BZ248" s="40"/>
      <c r="CA248" s="40"/>
      <c r="CB248" s="40"/>
      <c r="CC248" s="40"/>
      <c r="CD248" s="40"/>
      <c r="CE248" s="40"/>
      <c r="CF248" s="40"/>
      <c r="CG248" s="40"/>
      <c r="CH248" s="40"/>
      <c r="CI248" s="40"/>
      <c r="CJ248" s="40"/>
      <c r="CK248" s="40"/>
      <c r="CL248" s="40"/>
      <c r="CM248" s="40"/>
      <c r="CN248" s="40"/>
      <c r="CO248" s="40"/>
      <c r="CP248" s="40"/>
      <c r="CQ248" s="40"/>
      <c r="CR248" s="40"/>
      <c r="CS248" s="40"/>
    </row>
    <row r="249" spans="1:97">
      <c r="A249" s="393">
        <v>720</v>
      </c>
      <c r="B249" s="238">
        <v>200</v>
      </c>
      <c r="C249" s="238">
        <v>200</v>
      </c>
      <c r="D249" s="238">
        <v>0</v>
      </c>
      <c r="E249" s="238">
        <v>0</v>
      </c>
      <c r="F249" s="238">
        <v>0</v>
      </c>
      <c r="G249" s="362" t="s">
        <v>3430</v>
      </c>
      <c r="H249" s="43" t="s">
        <v>491</v>
      </c>
      <c r="I249" s="47" t="s">
        <v>492</v>
      </c>
      <c r="J249" s="47"/>
      <c r="K249" s="413"/>
      <c r="L249" s="413">
        <v>0</v>
      </c>
      <c r="M249" s="413"/>
      <c r="N249" s="413">
        <f t="shared" si="7"/>
        <v>0</v>
      </c>
      <c r="O249" s="413">
        <v>0</v>
      </c>
      <c r="P249" s="413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  <c r="BN249" s="40"/>
      <c r="BO249" s="40"/>
      <c r="BP249" s="40"/>
      <c r="BQ249" s="40"/>
      <c r="BR249" s="40"/>
      <c r="BS249" s="40"/>
      <c r="BT249" s="40"/>
      <c r="BU249" s="40"/>
      <c r="BV249" s="40"/>
      <c r="BW249" s="40"/>
      <c r="BX249" s="40"/>
      <c r="BY249" s="40"/>
      <c r="BZ249" s="40"/>
      <c r="CA249" s="40"/>
      <c r="CB249" s="40"/>
      <c r="CC249" s="40"/>
      <c r="CD249" s="40"/>
      <c r="CE249" s="40"/>
      <c r="CF249" s="40"/>
      <c r="CG249" s="40"/>
      <c r="CH249" s="40"/>
      <c r="CI249" s="40"/>
      <c r="CJ249" s="40"/>
      <c r="CK249" s="40"/>
      <c r="CL249" s="40"/>
      <c r="CM249" s="40"/>
      <c r="CN249" s="40"/>
      <c r="CO249" s="40"/>
      <c r="CP249" s="40"/>
      <c r="CQ249" s="40"/>
      <c r="CR249" s="40"/>
      <c r="CS249" s="40"/>
    </row>
    <row r="250" spans="1:97">
      <c r="A250" s="393">
        <v>720</v>
      </c>
      <c r="B250" s="238">
        <v>200</v>
      </c>
      <c r="C250" s="238">
        <v>200</v>
      </c>
      <c r="D250" s="238">
        <v>50</v>
      </c>
      <c r="E250" s="238">
        <v>0</v>
      </c>
      <c r="F250" s="238">
        <v>0</v>
      </c>
      <c r="G250" s="362" t="s">
        <v>3431</v>
      </c>
      <c r="H250" s="45" t="s">
        <v>493</v>
      </c>
      <c r="I250" s="47" t="s">
        <v>494</v>
      </c>
      <c r="J250" s="47"/>
      <c r="K250" s="206">
        <f t="shared" si="6"/>
        <v>5120.8</v>
      </c>
      <c r="L250" s="206">
        <v>5120.8</v>
      </c>
      <c r="M250" s="206"/>
      <c r="N250" s="206">
        <f t="shared" si="7"/>
        <v>0</v>
      </c>
      <c r="O250" s="206">
        <v>0</v>
      </c>
      <c r="P250" s="206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40"/>
      <c r="BN250" s="40"/>
      <c r="BO250" s="40"/>
      <c r="BP250" s="40"/>
      <c r="BQ250" s="40"/>
      <c r="BR250" s="40"/>
      <c r="BS250" s="40"/>
      <c r="BT250" s="40"/>
      <c r="BU250" s="40"/>
      <c r="BV250" s="40"/>
      <c r="BW250" s="40"/>
      <c r="BX250" s="40"/>
      <c r="BY250" s="40"/>
      <c r="BZ250" s="40"/>
      <c r="CA250" s="40"/>
      <c r="CB250" s="40"/>
      <c r="CC250" s="40"/>
      <c r="CD250" s="40"/>
      <c r="CE250" s="40"/>
      <c r="CF250" s="40"/>
      <c r="CG250" s="40"/>
      <c r="CH250" s="40"/>
      <c r="CI250" s="40"/>
      <c r="CJ250" s="40"/>
      <c r="CK250" s="40"/>
      <c r="CL250" s="40"/>
      <c r="CM250" s="40"/>
      <c r="CN250" s="40"/>
      <c r="CO250" s="40"/>
      <c r="CP250" s="40"/>
      <c r="CQ250" s="40"/>
      <c r="CR250" s="40"/>
      <c r="CS250" s="40"/>
    </row>
    <row r="251" spans="1:97" ht="25.5">
      <c r="A251" s="393">
        <v>720</v>
      </c>
      <c r="B251" s="238">
        <v>200</v>
      </c>
      <c r="C251" s="238">
        <v>200</v>
      </c>
      <c r="D251" s="238">
        <v>100</v>
      </c>
      <c r="E251" s="238">
        <v>0</v>
      </c>
      <c r="F251" s="238">
        <v>0</v>
      </c>
      <c r="G251" s="360" t="s">
        <v>3432</v>
      </c>
      <c r="H251" s="45" t="s">
        <v>495</v>
      </c>
      <c r="I251" s="47" t="s">
        <v>496</v>
      </c>
      <c r="J251" s="47" t="s">
        <v>1529</v>
      </c>
      <c r="K251" s="203">
        <f t="shared" si="6"/>
        <v>61905</v>
      </c>
      <c r="L251" s="203">
        <v>61905</v>
      </c>
      <c r="M251" s="203"/>
      <c r="N251" s="203">
        <f t="shared" si="7"/>
        <v>327818.71999999997</v>
      </c>
      <c r="O251" s="203">
        <v>327818.71999999997</v>
      </c>
      <c r="P251" s="203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  <c r="BI251" s="40"/>
      <c r="BJ251" s="40"/>
      <c r="BK251" s="40"/>
      <c r="BL251" s="40"/>
      <c r="BM251" s="40"/>
      <c r="BN251" s="40"/>
      <c r="BO251" s="40"/>
      <c r="BP251" s="40"/>
      <c r="BQ251" s="40"/>
      <c r="BR251" s="40"/>
      <c r="BS251" s="40"/>
      <c r="BT251" s="40"/>
      <c r="BU251" s="40"/>
      <c r="BV251" s="40"/>
      <c r="BW251" s="40"/>
      <c r="BX251" s="40"/>
      <c r="BY251" s="40"/>
      <c r="BZ251" s="40"/>
      <c r="CA251" s="40"/>
      <c r="CB251" s="40"/>
      <c r="CC251" s="40"/>
      <c r="CD251" s="40"/>
      <c r="CE251" s="40"/>
      <c r="CF251" s="40"/>
      <c r="CG251" s="40"/>
      <c r="CH251" s="40"/>
      <c r="CI251" s="40"/>
      <c r="CJ251" s="40"/>
      <c r="CK251" s="40"/>
      <c r="CL251" s="40"/>
      <c r="CM251" s="40"/>
      <c r="CN251" s="40"/>
      <c r="CO251" s="40"/>
      <c r="CP251" s="40"/>
      <c r="CQ251" s="40"/>
      <c r="CR251" s="40"/>
      <c r="CS251" s="40"/>
    </row>
    <row r="252" spans="1:97">
      <c r="A252" s="393">
        <v>720</v>
      </c>
      <c r="B252" s="238">
        <v>200</v>
      </c>
      <c r="C252" s="238">
        <v>200</v>
      </c>
      <c r="D252" s="238">
        <v>200</v>
      </c>
      <c r="E252" s="238">
        <v>0</v>
      </c>
      <c r="F252" s="238">
        <v>0</v>
      </c>
      <c r="G252" s="362" t="s">
        <v>3433</v>
      </c>
      <c r="H252" s="43" t="s">
        <v>497</v>
      </c>
      <c r="I252" s="47" t="s">
        <v>498</v>
      </c>
      <c r="J252" s="47"/>
      <c r="K252" s="413"/>
      <c r="L252" s="413">
        <v>0</v>
      </c>
      <c r="M252" s="413"/>
      <c r="N252" s="413">
        <f t="shared" si="7"/>
        <v>0</v>
      </c>
      <c r="O252" s="413">
        <v>0</v>
      </c>
      <c r="P252" s="413"/>
    </row>
    <row r="253" spans="1:97" ht="25.5">
      <c r="A253" s="393">
        <v>720</v>
      </c>
      <c r="B253" s="238">
        <v>200</v>
      </c>
      <c r="C253" s="238">
        <v>200</v>
      </c>
      <c r="D253" s="238">
        <v>200</v>
      </c>
      <c r="E253" s="238">
        <v>10</v>
      </c>
      <c r="F253" s="240">
        <v>0</v>
      </c>
      <c r="G253" s="360" t="s">
        <v>3434</v>
      </c>
      <c r="H253" s="45" t="s">
        <v>499</v>
      </c>
      <c r="I253" s="47" t="s">
        <v>500</v>
      </c>
      <c r="J253" s="47" t="s">
        <v>1574</v>
      </c>
      <c r="K253" s="203">
        <f t="shared" si="6"/>
        <v>0</v>
      </c>
      <c r="L253" s="203">
        <v>0</v>
      </c>
      <c r="M253" s="203"/>
      <c r="N253" s="203">
        <f t="shared" si="7"/>
        <v>0</v>
      </c>
      <c r="O253" s="203">
        <v>0</v>
      </c>
      <c r="P253" s="203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40"/>
      <c r="BN253" s="40"/>
      <c r="BO253" s="40"/>
      <c r="BP253" s="40"/>
      <c r="BQ253" s="40"/>
      <c r="BR253" s="40"/>
      <c r="BS253" s="40"/>
      <c r="BT253" s="40"/>
      <c r="BU253" s="40"/>
      <c r="BV253" s="40"/>
      <c r="BW253" s="40"/>
      <c r="BX253" s="40"/>
      <c r="BY253" s="40"/>
      <c r="BZ253" s="40"/>
      <c r="CA253" s="40"/>
      <c r="CB253" s="40"/>
      <c r="CC253" s="40"/>
      <c r="CD253" s="40"/>
      <c r="CE253" s="40"/>
      <c r="CF253" s="40"/>
      <c r="CG253" s="40"/>
      <c r="CH253" s="40"/>
      <c r="CI253" s="40"/>
      <c r="CJ253" s="40"/>
      <c r="CK253" s="40"/>
      <c r="CL253" s="40"/>
      <c r="CM253" s="40"/>
      <c r="CN253" s="40"/>
      <c r="CO253" s="40"/>
      <c r="CP253" s="40"/>
      <c r="CQ253" s="40"/>
      <c r="CR253" s="40"/>
      <c r="CS253" s="40"/>
    </row>
    <row r="254" spans="1:97">
      <c r="A254" s="393">
        <v>720</v>
      </c>
      <c r="B254" s="238">
        <v>200</v>
      </c>
      <c r="C254" s="238">
        <v>200</v>
      </c>
      <c r="D254" s="238">
        <v>200</v>
      </c>
      <c r="E254" s="238">
        <v>20</v>
      </c>
      <c r="F254" s="240">
        <v>0</v>
      </c>
      <c r="G254" s="360" t="s">
        <v>3435</v>
      </c>
      <c r="H254" s="45" t="s">
        <v>501</v>
      </c>
      <c r="I254" s="47" t="s">
        <v>502</v>
      </c>
      <c r="J254" s="47"/>
      <c r="K254" s="203">
        <f t="shared" si="6"/>
        <v>125836.7</v>
      </c>
      <c r="L254" s="203">
        <v>125836.7</v>
      </c>
      <c r="M254" s="203"/>
      <c r="N254" s="203">
        <f t="shared" si="7"/>
        <v>681.22</v>
      </c>
      <c r="O254" s="203">
        <v>681.22</v>
      </c>
      <c r="P254" s="203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L254" s="40"/>
      <c r="BM254" s="40"/>
      <c r="BN254" s="40"/>
      <c r="BO254" s="40"/>
      <c r="BP254" s="40"/>
      <c r="BQ254" s="40"/>
      <c r="BR254" s="40"/>
      <c r="BS254" s="40"/>
      <c r="BT254" s="40"/>
      <c r="BU254" s="40"/>
      <c r="BV254" s="40"/>
      <c r="BW254" s="40"/>
      <c r="BX254" s="40"/>
      <c r="BY254" s="40"/>
      <c r="BZ254" s="40"/>
      <c r="CA254" s="40"/>
      <c r="CB254" s="40"/>
      <c r="CC254" s="40"/>
      <c r="CD254" s="40"/>
      <c r="CE254" s="40"/>
      <c r="CF254" s="40"/>
      <c r="CG254" s="40"/>
      <c r="CH254" s="40"/>
      <c r="CI254" s="40"/>
      <c r="CJ254" s="40"/>
      <c r="CK254" s="40"/>
      <c r="CL254" s="40"/>
      <c r="CM254" s="40"/>
      <c r="CN254" s="40"/>
      <c r="CO254" s="40"/>
      <c r="CP254" s="40"/>
      <c r="CQ254" s="40"/>
      <c r="CR254" s="40"/>
      <c r="CS254" s="40"/>
    </row>
    <row r="255" spans="1:97" ht="25.5">
      <c r="A255" s="393">
        <v>720</v>
      </c>
      <c r="B255" s="238">
        <v>200</v>
      </c>
      <c r="C255" s="238">
        <v>200</v>
      </c>
      <c r="D255" s="238">
        <v>200</v>
      </c>
      <c r="E255" s="238">
        <v>30</v>
      </c>
      <c r="F255" s="240">
        <v>0</v>
      </c>
      <c r="G255" s="360" t="s">
        <v>3436</v>
      </c>
      <c r="H255" s="45" t="s">
        <v>503</v>
      </c>
      <c r="I255" s="47" t="s">
        <v>504</v>
      </c>
      <c r="J255" s="47"/>
      <c r="K255" s="203">
        <f t="shared" si="6"/>
        <v>0</v>
      </c>
      <c r="L255" s="203">
        <v>0</v>
      </c>
      <c r="M255" s="203"/>
      <c r="N255" s="203">
        <f t="shared" si="7"/>
        <v>0</v>
      </c>
      <c r="O255" s="203">
        <v>0</v>
      </c>
      <c r="P255" s="203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L255" s="40"/>
      <c r="BM255" s="40"/>
      <c r="BN255" s="40"/>
      <c r="BO255" s="40"/>
      <c r="BP255" s="40"/>
      <c r="BQ255" s="40"/>
      <c r="BR255" s="40"/>
      <c r="BS255" s="40"/>
      <c r="BT255" s="40"/>
      <c r="BU255" s="40"/>
      <c r="BV255" s="40"/>
      <c r="BW255" s="40"/>
      <c r="BX255" s="40"/>
      <c r="BY255" s="40"/>
      <c r="BZ255" s="40"/>
      <c r="CA255" s="40"/>
      <c r="CB255" s="40"/>
      <c r="CC255" s="40"/>
      <c r="CD255" s="40"/>
      <c r="CE255" s="40"/>
      <c r="CF255" s="40"/>
      <c r="CG255" s="40"/>
      <c r="CH255" s="40"/>
      <c r="CI255" s="40"/>
      <c r="CJ255" s="40"/>
      <c r="CK255" s="40"/>
      <c r="CL255" s="40"/>
      <c r="CM255" s="40"/>
      <c r="CN255" s="40"/>
      <c r="CO255" s="40"/>
      <c r="CP255" s="40"/>
      <c r="CQ255" s="40"/>
      <c r="CR255" s="40"/>
      <c r="CS255" s="40"/>
    </row>
    <row r="256" spans="1:97" ht="25.5">
      <c r="A256" s="393">
        <v>720</v>
      </c>
      <c r="B256" s="238">
        <v>200</v>
      </c>
      <c r="C256" s="238">
        <v>200</v>
      </c>
      <c r="D256" s="238">
        <v>200</v>
      </c>
      <c r="E256" s="238">
        <v>40</v>
      </c>
      <c r="F256" s="240">
        <v>0</v>
      </c>
      <c r="G256" s="360" t="s">
        <v>3437</v>
      </c>
      <c r="H256" s="45" t="s">
        <v>505</v>
      </c>
      <c r="I256" s="47" t="s">
        <v>506</v>
      </c>
      <c r="J256" s="47"/>
      <c r="K256" s="203">
        <f t="shared" si="6"/>
        <v>0</v>
      </c>
      <c r="L256" s="203">
        <v>0</v>
      </c>
      <c r="M256" s="203"/>
      <c r="N256" s="203">
        <f t="shared" si="7"/>
        <v>0</v>
      </c>
      <c r="O256" s="203">
        <v>0</v>
      </c>
      <c r="P256" s="203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40"/>
      <c r="BN256" s="40"/>
      <c r="BO256" s="40"/>
      <c r="BP256" s="40"/>
      <c r="BQ256" s="40"/>
      <c r="BR256" s="40"/>
      <c r="BS256" s="40"/>
      <c r="BT256" s="40"/>
      <c r="BU256" s="40"/>
      <c r="BV256" s="40"/>
      <c r="BW256" s="40"/>
      <c r="BX256" s="40"/>
      <c r="BY256" s="40"/>
      <c r="BZ256" s="40"/>
      <c r="CA256" s="40"/>
      <c r="CB256" s="40"/>
      <c r="CC256" s="40"/>
      <c r="CD256" s="40"/>
      <c r="CE256" s="40"/>
      <c r="CF256" s="40"/>
      <c r="CG256" s="40"/>
      <c r="CH256" s="40"/>
      <c r="CI256" s="40"/>
      <c r="CJ256" s="40"/>
      <c r="CK256" s="40"/>
      <c r="CL256" s="40"/>
      <c r="CM256" s="40"/>
      <c r="CN256" s="40"/>
      <c r="CO256" s="40"/>
      <c r="CP256" s="40"/>
      <c r="CQ256" s="40"/>
      <c r="CR256" s="40"/>
      <c r="CS256" s="40"/>
    </row>
    <row r="257" spans="1:97" ht="25.5">
      <c r="A257" s="393">
        <v>720</v>
      </c>
      <c r="B257" s="238">
        <v>200</v>
      </c>
      <c r="C257" s="238">
        <v>200</v>
      </c>
      <c r="D257" s="238">
        <v>200</v>
      </c>
      <c r="E257" s="238">
        <v>50</v>
      </c>
      <c r="F257" s="240">
        <v>0</v>
      </c>
      <c r="G257" s="360" t="s">
        <v>3438</v>
      </c>
      <c r="H257" s="45" t="s">
        <v>507</v>
      </c>
      <c r="I257" s="47" t="s">
        <v>508</v>
      </c>
      <c r="J257" s="47"/>
      <c r="K257" s="203">
        <f t="shared" si="6"/>
        <v>0</v>
      </c>
      <c r="L257" s="203">
        <v>0</v>
      </c>
      <c r="M257" s="203"/>
      <c r="N257" s="203">
        <f t="shared" si="7"/>
        <v>0</v>
      </c>
      <c r="O257" s="203">
        <v>0</v>
      </c>
      <c r="P257" s="203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  <c r="BN257" s="40"/>
      <c r="BO257" s="40"/>
      <c r="BP257" s="40"/>
      <c r="BQ257" s="40"/>
      <c r="BR257" s="40"/>
      <c r="BS257" s="40"/>
      <c r="BT257" s="40"/>
      <c r="BU257" s="40"/>
      <c r="BV257" s="40"/>
      <c r="BW257" s="40"/>
      <c r="BX257" s="40"/>
      <c r="BY257" s="40"/>
      <c r="BZ257" s="40"/>
      <c r="CA257" s="40"/>
      <c r="CB257" s="40"/>
      <c r="CC257" s="40"/>
      <c r="CD257" s="40"/>
      <c r="CE257" s="40"/>
      <c r="CF257" s="40"/>
      <c r="CG257" s="40"/>
      <c r="CH257" s="40"/>
      <c r="CI257" s="40"/>
      <c r="CJ257" s="40"/>
      <c r="CK257" s="40"/>
      <c r="CL257" s="40"/>
      <c r="CM257" s="40"/>
      <c r="CN257" s="40"/>
      <c r="CO257" s="40"/>
      <c r="CP257" s="40"/>
      <c r="CQ257" s="40"/>
      <c r="CR257" s="40"/>
      <c r="CS257" s="40"/>
    </row>
    <row r="258" spans="1:97" ht="25.5">
      <c r="A258" s="393">
        <v>720</v>
      </c>
      <c r="B258" s="238">
        <v>200</v>
      </c>
      <c r="C258" s="238">
        <v>200</v>
      </c>
      <c r="D258" s="238">
        <v>200</v>
      </c>
      <c r="E258" s="238">
        <v>60</v>
      </c>
      <c r="F258" s="240">
        <v>0</v>
      </c>
      <c r="G258" s="360" t="s">
        <v>3439</v>
      </c>
      <c r="H258" s="45" t="s">
        <v>509</v>
      </c>
      <c r="I258" s="47" t="s">
        <v>510</v>
      </c>
      <c r="J258" s="47"/>
      <c r="K258" s="203">
        <f t="shared" si="6"/>
        <v>74344.62</v>
      </c>
      <c r="L258" s="203">
        <v>74344.62</v>
      </c>
      <c r="M258" s="203"/>
      <c r="N258" s="203">
        <f t="shared" si="7"/>
        <v>42978.6</v>
      </c>
      <c r="O258" s="203">
        <v>42978.6</v>
      </c>
      <c r="P258" s="203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L258" s="40"/>
      <c r="BM258" s="40"/>
      <c r="BN258" s="40"/>
      <c r="BO258" s="40"/>
      <c r="BP258" s="40"/>
      <c r="BQ258" s="40"/>
      <c r="BR258" s="40"/>
      <c r="BS258" s="40"/>
      <c r="BT258" s="40"/>
      <c r="BU258" s="40"/>
      <c r="BV258" s="40"/>
      <c r="BW258" s="40"/>
      <c r="BX258" s="40"/>
      <c r="BY258" s="40"/>
      <c r="BZ258" s="40"/>
      <c r="CA258" s="40"/>
      <c r="CB258" s="40"/>
      <c r="CC258" s="40"/>
      <c r="CD258" s="40"/>
      <c r="CE258" s="40"/>
      <c r="CF258" s="40"/>
      <c r="CG258" s="40"/>
      <c r="CH258" s="40"/>
      <c r="CI258" s="40"/>
      <c r="CJ258" s="40"/>
      <c r="CK258" s="40"/>
      <c r="CL258" s="40"/>
      <c r="CM258" s="40"/>
      <c r="CN258" s="40"/>
      <c r="CO258" s="40"/>
      <c r="CP258" s="40"/>
      <c r="CQ258" s="40"/>
      <c r="CR258" s="40"/>
      <c r="CS258" s="40"/>
    </row>
    <row r="259" spans="1:97">
      <c r="A259" s="393">
        <v>720</v>
      </c>
      <c r="B259" s="238">
        <v>200</v>
      </c>
      <c r="C259" s="238">
        <v>200</v>
      </c>
      <c r="D259" s="238">
        <v>200</v>
      </c>
      <c r="E259" s="238">
        <v>90</v>
      </c>
      <c r="F259" s="240">
        <v>0</v>
      </c>
      <c r="G259" s="360" t="s">
        <v>3440</v>
      </c>
      <c r="H259" s="45" t="s">
        <v>511</v>
      </c>
      <c r="I259" s="47" t="s">
        <v>512</v>
      </c>
      <c r="J259" s="47"/>
      <c r="K259" s="203">
        <f t="shared" si="6"/>
        <v>103647.29</v>
      </c>
      <c r="L259" s="203">
        <v>103647.29</v>
      </c>
      <c r="M259" s="203"/>
      <c r="N259" s="203">
        <f t="shared" si="7"/>
        <v>97995.35</v>
      </c>
      <c r="O259" s="203">
        <v>97995.35</v>
      </c>
      <c r="P259" s="203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40"/>
      <c r="BN259" s="40"/>
      <c r="BO259" s="40"/>
      <c r="BP259" s="40"/>
      <c r="BQ259" s="40"/>
      <c r="BR259" s="40"/>
      <c r="BS259" s="40"/>
      <c r="BT259" s="40"/>
      <c r="BU259" s="40"/>
      <c r="BV259" s="40"/>
      <c r="BW259" s="40"/>
      <c r="BX259" s="40"/>
      <c r="BY259" s="40"/>
      <c r="BZ259" s="40"/>
      <c r="CA259" s="40"/>
      <c r="CB259" s="40"/>
      <c r="CC259" s="40"/>
      <c r="CD259" s="40"/>
      <c r="CE259" s="40"/>
      <c r="CF259" s="40"/>
      <c r="CG259" s="40"/>
      <c r="CH259" s="40"/>
      <c r="CI259" s="40"/>
      <c r="CJ259" s="40"/>
      <c r="CK259" s="40"/>
      <c r="CL259" s="40"/>
      <c r="CM259" s="40"/>
      <c r="CN259" s="40"/>
      <c r="CO259" s="40"/>
      <c r="CP259" s="40"/>
      <c r="CQ259" s="40"/>
      <c r="CR259" s="40"/>
      <c r="CS259" s="40"/>
    </row>
    <row r="260" spans="1:97">
      <c r="A260" s="393">
        <v>720</v>
      </c>
      <c r="B260" s="238">
        <v>200</v>
      </c>
      <c r="C260" s="238">
        <v>300</v>
      </c>
      <c r="D260" s="238">
        <v>0</v>
      </c>
      <c r="E260" s="238">
        <v>0</v>
      </c>
      <c r="F260" s="240">
        <v>0</v>
      </c>
      <c r="G260" s="362" t="s">
        <v>3441</v>
      </c>
      <c r="H260" s="43" t="s">
        <v>513</v>
      </c>
      <c r="I260" s="47"/>
      <c r="J260" s="47"/>
      <c r="K260" s="413"/>
      <c r="L260" s="413">
        <v>0</v>
      </c>
      <c r="M260" s="413"/>
      <c r="N260" s="413">
        <f t="shared" si="7"/>
        <v>0</v>
      </c>
      <c r="O260" s="413">
        <v>0</v>
      </c>
      <c r="P260" s="413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L260" s="40"/>
      <c r="BM260" s="40"/>
      <c r="BN260" s="40"/>
      <c r="BO260" s="40"/>
      <c r="BP260" s="40"/>
      <c r="BQ260" s="40"/>
      <c r="BR260" s="40"/>
      <c r="BS260" s="40"/>
      <c r="BT260" s="40"/>
      <c r="BU260" s="40"/>
      <c r="BV260" s="40"/>
      <c r="BW260" s="40"/>
      <c r="BX260" s="40"/>
      <c r="BY260" s="40"/>
      <c r="BZ260" s="40"/>
      <c r="CA260" s="40"/>
      <c r="CB260" s="40"/>
      <c r="CC260" s="40"/>
      <c r="CD260" s="40"/>
      <c r="CE260" s="40"/>
      <c r="CF260" s="40"/>
      <c r="CG260" s="40"/>
      <c r="CH260" s="40"/>
      <c r="CI260" s="40"/>
      <c r="CJ260" s="40"/>
      <c r="CK260" s="40"/>
      <c r="CL260" s="40"/>
      <c r="CM260" s="40"/>
      <c r="CN260" s="40"/>
      <c r="CO260" s="40"/>
      <c r="CP260" s="40"/>
      <c r="CQ260" s="40"/>
      <c r="CR260" s="40"/>
      <c r="CS260" s="40"/>
    </row>
    <row r="261" spans="1:97" ht="25.5">
      <c r="A261" s="393">
        <v>720</v>
      </c>
      <c r="B261" s="238">
        <v>200</v>
      </c>
      <c r="C261" s="238">
        <v>300</v>
      </c>
      <c r="D261" s="238">
        <v>100</v>
      </c>
      <c r="E261" s="238">
        <v>0</v>
      </c>
      <c r="F261" s="238">
        <v>0</v>
      </c>
      <c r="G261" s="360" t="s">
        <v>3442</v>
      </c>
      <c r="H261" s="45" t="s">
        <v>514</v>
      </c>
      <c r="I261" s="47" t="s">
        <v>515</v>
      </c>
      <c r="J261" s="47" t="s">
        <v>1529</v>
      </c>
      <c r="K261" s="203">
        <f t="shared" si="6"/>
        <v>35787.18</v>
      </c>
      <c r="L261" s="203">
        <v>35787.18</v>
      </c>
      <c r="M261" s="203"/>
      <c r="N261" s="203">
        <f t="shared" si="7"/>
        <v>294680.05</v>
      </c>
      <c r="O261" s="203">
        <v>294680.05</v>
      </c>
      <c r="P261" s="203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  <c r="BN261" s="40"/>
      <c r="BO261" s="40"/>
      <c r="BP261" s="40"/>
      <c r="BQ261" s="40"/>
      <c r="BR261" s="40"/>
      <c r="BS261" s="40"/>
      <c r="BT261" s="40"/>
      <c r="BU261" s="40"/>
      <c r="BV261" s="40"/>
      <c r="BW261" s="40"/>
      <c r="BX261" s="40"/>
      <c r="BY261" s="40"/>
      <c r="BZ261" s="40"/>
      <c r="CA261" s="40"/>
      <c r="CB261" s="40"/>
      <c r="CC261" s="40"/>
      <c r="CD261" s="40"/>
      <c r="CE261" s="40"/>
      <c r="CF261" s="40"/>
      <c r="CG261" s="40"/>
      <c r="CH261" s="40"/>
      <c r="CI261" s="40"/>
      <c r="CJ261" s="40"/>
      <c r="CK261" s="40"/>
      <c r="CL261" s="40"/>
      <c r="CM261" s="40"/>
      <c r="CN261" s="40"/>
      <c r="CO261" s="40"/>
      <c r="CP261" s="40"/>
      <c r="CQ261" s="40"/>
      <c r="CR261" s="40"/>
      <c r="CS261" s="40"/>
    </row>
    <row r="262" spans="1:97">
      <c r="A262" s="393">
        <v>720</v>
      </c>
      <c r="B262" s="238">
        <v>200</v>
      </c>
      <c r="C262" s="238">
        <v>300</v>
      </c>
      <c r="D262" s="238">
        <v>200</v>
      </c>
      <c r="E262" s="238">
        <v>0</v>
      </c>
      <c r="F262" s="238">
        <v>0</v>
      </c>
      <c r="G262" s="362" t="s">
        <v>3443</v>
      </c>
      <c r="H262" s="43" t="s">
        <v>516</v>
      </c>
      <c r="I262" s="47"/>
      <c r="J262" s="47"/>
      <c r="K262" s="413"/>
      <c r="L262" s="413">
        <v>0</v>
      </c>
      <c r="M262" s="413"/>
      <c r="N262" s="413">
        <f t="shared" si="7"/>
        <v>0</v>
      </c>
      <c r="O262" s="413">
        <v>0</v>
      </c>
      <c r="P262" s="413"/>
    </row>
    <row r="263" spans="1:97" ht="25.5">
      <c r="A263" s="393">
        <v>720</v>
      </c>
      <c r="B263" s="238">
        <v>200</v>
      </c>
      <c r="C263" s="238">
        <v>300</v>
      </c>
      <c r="D263" s="238">
        <v>200</v>
      </c>
      <c r="E263" s="238">
        <v>10</v>
      </c>
      <c r="F263" s="238">
        <v>0</v>
      </c>
      <c r="G263" s="360" t="s">
        <v>3444</v>
      </c>
      <c r="H263" s="45" t="s">
        <v>517</v>
      </c>
      <c r="I263" s="47" t="s">
        <v>518</v>
      </c>
      <c r="J263" s="47" t="s">
        <v>1574</v>
      </c>
      <c r="K263" s="203">
        <f t="shared" ref="K263:K270" si="8">+L263+M263</f>
        <v>0</v>
      </c>
      <c r="L263" s="203">
        <v>0</v>
      </c>
      <c r="M263" s="203"/>
      <c r="N263" s="203">
        <f t="shared" ref="N263:N270" si="9">+O263+P263</f>
        <v>0</v>
      </c>
      <c r="O263" s="203">
        <v>0</v>
      </c>
      <c r="P263" s="203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40"/>
      <c r="BN263" s="40"/>
      <c r="BO263" s="40"/>
      <c r="BP263" s="40"/>
      <c r="BQ263" s="40"/>
      <c r="BR263" s="40"/>
      <c r="BS263" s="40"/>
      <c r="BT263" s="40"/>
      <c r="BU263" s="40"/>
      <c r="BV263" s="40"/>
      <c r="BW263" s="40"/>
      <c r="BX263" s="40"/>
      <c r="BY263" s="40"/>
      <c r="BZ263" s="40"/>
      <c r="CA263" s="40"/>
      <c r="CB263" s="40"/>
      <c r="CC263" s="40"/>
      <c r="CD263" s="40"/>
      <c r="CE263" s="40"/>
      <c r="CF263" s="40"/>
      <c r="CG263" s="40"/>
      <c r="CH263" s="40"/>
      <c r="CI263" s="40"/>
      <c r="CJ263" s="40"/>
      <c r="CK263" s="40"/>
      <c r="CL263" s="40"/>
      <c r="CM263" s="40"/>
      <c r="CN263" s="40"/>
      <c r="CO263" s="40"/>
      <c r="CP263" s="40"/>
      <c r="CQ263" s="40"/>
      <c r="CR263" s="40"/>
      <c r="CS263" s="40"/>
    </row>
    <row r="264" spans="1:97">
      <c r="A264" s="393">
        <v>720</v>
      </c>
      <c r="B264" s="238">
        <v>200</v>
      </c>
      <c r="C264" s="238">
        <v>300</v>
      </c>
      <c r="D264" s="238">
        <v>200</v>
      </c>
      <c r="E264" s="238">
        <v>20</v>
      </c>
      <c r="F264" s="238">
        <v>0</v>
      </c>
      <c r="G264" s="360" t="s">
        <v>3445</v>
      </c>
      <c r="H264" s="45" t="s">
        <v>519</v>
      </c>
      <c r="I264" s="47" t="s">
        <v>520</v>
      </c>
      <c r="J264" s="47"/>
      <c r="K264" s="203">
        <f t="shared" si="8"/>
        <v>934.76</v>
      </c>
      <c r="L264" s="203">
        <v>934.76</v>
      </c>
      <c r="M264" s="203"/>
      <c r="N264" s="203">
        <f t="shared" si="9"/>
        <v>349.74</v>
      </c>
      <c r="O264" s="203">
        <v>349.74</v>
      </c>
      <c r="P264" s="203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40"/>
      <c r="BN264" s="40"/>
      <c r="BO264" s="40"/>
      <c r="BP264" s="40"/>
      <c r="BQ264" s="40"/>
      <c r="BR264" s="40"/>
      <c r="BS264" s="40"/>
      <c r="BT264" s="40"/>
      <c r="BU264" s="40"/>
      <c r="BV264" s="40"/>
      <c r="BW264" s="40"/>
      <c r="BX264" s="40"/>
      <c r="BY264" s="40"/>
      <c r="BZ264" s="40"/>
      <c r="CA264" s="40"/>
      <c r="CB264" s="40"/>
      <c r="CC264" s="40"/>
      <c r="CD264" s="40"/>
      <c r="CE264" s="40"/>
      <c r="CF264" s="40"/>
      <c r="CG264" s="40"/>
      <c r="CH264" s="40"/>
      <c r="CI264" s="40"/>
      <c r="CJ264" s="40"/>
      <c r="CK264" s="40"/>
      <c r="CL264" s="40"/>
      <c r="CM264" s="40"/>
      <c r="CN264" s="40"/>
      <c r="CO264" s="40"/>
      <c r="CP264" s="40"/>
      <c r="CQ264" s="40"/>
      <c r="CR264" s="40"/>
      <c r="CS264" s="40"/>
    </row>
    <row r="265" spans="1:97" ht="25.5">
      <c r="A265" s="393">
        <v>720</v>
      </c>
      <c r="B265" s="238">
        <v>200</v>
      </c>
      <c r="C265" s="238">
        <v>300</v>
      </c>
      <c r="D265" s="238">
        <v>200</v>
      </c>
      <c r="E265" s="238">
        <v>30</v>
      </c>
      <c r="F265" s="238">
        <v>0</v>
      </c>
      <c r="G265" s="360" t="s">
        <v>3446</v>
      </c>
      <c r="H265" s="45" t="s">
        <v>521</v>
      </c>
      <c r="I265" s="47" t="s">
        <v>522</v>
      </c>
      <c r="J265" s="47"/>
      <c r="K265" s="203">
        <f t="shared" si="8"/>
        <v>0</v>
      </c>
      <c r="L265" s="203">
        <v>0</v>
      </c>
      <c r="M265" s="203"/>
      <c r="N265" s="203">
        <f t="shared" si="9"/>
        <v>0</v>
      </c>
      <c r="O265" s="203">
        <v>0</v>
      </c>
      <c r="P265" s="203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40"/>
      <c r="BN265" s="40"/>
      <c r="BO265" s="40"/>
      <c r="BP265" s="40"/>
      <c r="BQ265" s="40"/>
      <c r="BR265" s="40"/>
      <c r="BS265" s="40"/>
      <c r="BT265" s="40"/>
      <c r="BU265" s="40"/>
      <c r="BV265" s="40"/>
      <c r="BW265" s="40"/>
      <c r="BX265" s="40"/>
      <c r="BY265" s="40"/>
      <c r="BZ265" s="40"/>
      <c r="CA265" s="40"/>
      <c r="CB265" s="40"/>
      <c r="CC265" s="40"/>
      <c r="CD265" s="40"/>
      <c r="CE265" s="40"/>
      <c r="CF265" s="40"/>
      <c r="CG265" s="40"/>
      <c r="CH265" s="40"/>
      <c r="CI265" s="40"/>
      <c r="CJ265" s="40"/>
      <c r="CK265" s="40"/>
      <c r="CL265" s="40"/>
      <c r="CM265" s="40"/>
      <c r="CN265" s="40"/>
      <c r="CO265" s="40"/>
      <c r="CP265" s="40"/>
      <c r="CQ265" s="40"/>
      <c r="CR265" s="40"/>
      <c r="CS265" s="40"/>
    </row>
    <row r="266" spans="1:97" ht="25.5">
      <c r="A266" s="393">
        <v>720</v>
      </c>
      <c r="B266" s="238">
        <v>200</v>
      </c>
      <c r="C266" s="238">
        <v>300</v>
      </c>
      <c r="D266" s="238">
        <v>200</v>
      </c>
      <c r="E266" s="238">
        <v>40</v>
      </c>
      <c r="F266" s="238">
        <v>0</v>
      </c>
      <c r="G266" s="360" t="s">
        <v>3447</v>
      </c>
      <c r="H266" s="45" t="s">
        <v>523</v>
      </c>
      <c r="I266" s="47" t="s">
        <v>524</v>
      </c>
      <c r="J266" s="47"/>
      <c r="K266" s="203">
        <f t="shared" si="8"/>
        <v>0</v>
      </c>
      <c r="L266" s="203">
        <v>0</v>
      </c>
      <c r="M266" s="203"/>
      <c r="N266" s="203">
        <f t="shared" si="9"/>
        <v>0</v>
      </c>
      <c r="O266" s="203">
        <v>0</v>
      </c>
      <c r="P266" s="203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  <c r="BI266" s="40"/>
      <c r="BJ266" s="40"/>
      <c r="BK266" s="40"/>
      <c r="BL266" s="40"/>
      <c r="BM266" s="40"/>
      <c r="BN266" s="40"/>
      <c r="BO266" s="40"/>
      <c r="BP266" s="40"/>
      <c r="BQ266" s="40"/>
      <c r="BR266" s="40"/>
      <c r="BS266" s="40"/>
      <c r="BT266" s="40"/>
      <c r="BU266" s="40"/>
      <c r="BV266" s="40"/>
      <c r="BW266" s="40"/>
      <c r="BX266" s="40"/>
      <c r="BY266" s="40"/>
      <c r="BZ266" s="40"/>
      <c r="CA266" s="40"/>
      <c r="CB266" s="40"/>
      <c r="CC266" s="40"/>
      <c r="CD266" s="40"/>
      <c r="CE266" s="40"/>
      <c r="CF266" s="40"/>
      <c r="CG266" s="40"/>
      <c r="CH266" s="40"/>
      <c r="CI266" s="40"/>
      <c r="CJ266" s="40"/>
      <c r="CK266" s="40"/>
      <c r="CL266" s="40"/>
      <c r="CM266" s="40"/>
      <c r="CN266" s="40"/>
      <c r="CO266" s="40"/>
      <c r="CP266" s="40"/>
      <c r="CQ266" s="40"/>
      <c r="CR266" s="40"/>
      <c r="CS266" s="40"/>
    </row>
    <row r="267" spans="1:97" ht="25.5">
      <c r="A267" s="393">
        <v>720</v>
      </c>
      <c r="B267" s="238">
        <v>200</v>
      </c>
      <c r="C267" s="238">
        <v>300</v>
      </c>
      <c r="D267" s="238">
        <v>200</v>
      </c>
      <c r="E267" s="238">
        <v>50</v>
      </c>
      <c r="F267" s="238">
        <v>0</v>
      </c>
      <c r="G267" s="360" t="s">
        <v>3448</v>
      </c>
      <c r="H267" s="45" t="s">
        <v>525</v>
      </c>
      <c r="I267" s="47" t="s">
        <v>526</v>
      </c>
      <c r="J267" s="47"/>
      <c r="K267" s="203">
        <f t="shared" si="8"/>
        <v>0</v>
      </c>
      <c r="L267" s="203">
        <v>0</v>
      </c>
      <c r="M267" s="203"/>
      <c r="N267" s="203">
        <f t="shared" si="9"/>
        <v>0</v>
      </c>
      <c r="O267" s="203">
        <v>0</v>
      </c>
      <c r="P267" s="203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40"/>
      <c r="BN267" s="40"/>
      <c r="BO267" s="40"/>
      <c r="BP267" s="40"/>
      <c r="BQ267" s="40"/>
      <c r="BR267" s="40"/>
      <c r="BS267" s="40"/>
      <c r="BT267" s="40"/>
      <c r="BU267" s="40"/>
      <c r="BV267" s="40"/>
      <c r="BW267" s="40"/>
      <c r="BX267" s="40"/>
      <c r="BY267" s="40"/>
      <c r="BZ267" s="40"/>
      <c r="CA267" s="40"/>
      <c r="CB267" s="40"/>
      <c r="CC267" s="40"/>
      <c r="CD267" s="40"/>
      <c r="CE267" s="40"/>
      <c r="CF267" s="40"/>
      <c r="CG267" s="40"/>
      <c r="CH267" s="40"/>
      <c r="CI267" s="40"/>
      <c r="CJ267" s="40"/>
      <c r="CK267" s="40"/>
      <c r="CL267" s="40"/>
      <c r="CM267" s="40"/>
      <c r="CN267" s="40"/>
      <c r="CO267" s="40"/>
      <c r="CP267" s="40"/>
      <c r="CQ267" s="40"/>
      <c r="CR267" s="40"/>
      <c r="CS267" s="40"/>
    </row>
    <row r="268" spans="1:97" ht="25.5">
      <c r="A268" s="393">
        <v>720</v>
      </c>
      <c r="B268" s="238">
        <v>200</v>
      </c>
      <c r="C268" s="238">
        <v>300</v>
      </c>
      <c r="D268" s="238">
        <v>200</v>
      </c>
      <c r="E268" s="238">
        <v>60</v>
      </c>
      <c r="F268" s="238">
        <v>0</v>
      </c>
      <c r="G268" s="360" t="s">
        <v>3449</v>
      </c>
      <c r="H268" s="45" t="s">
        <v>527</v>
      </c>
      <c r="I268" s="47" t="s">
        <v>528</v>
      </c>
      <c r="J268" s="47"/>
      <c r="K268" s="203">
        <f t="shared" si="8"/>
        <v>0</v>
      </c>
      <c r="L268" s="203">
        <v>0</v>
      </c>
      <c r="M268" s="203"/>
      <c r="N268" s="203">
        <f t="shared" si="9"/>
        <v>1221.8</v>
      </c>
      <c r="O268" s="203">
        <v>1221.8</v>
      </c>
      <c r="P268" s="203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40"/>
      <c r="BS268" s="40"/>
      <c r="BT268" s="40"/>
      <c r="BU268" s="40"/>
      <c r="BV268" s="40"/>
      <c r="BW268" s="40"/>
      <c r="BX268" s="40"/>
      <c r="BY268" s="40"/>
      <c r="BZ268" s="40"/>
      <c r="CA268" s="40"/>
      <c r="CB268" s="40"/>
      <c r="CC268" s="40"/>
      <c r="CD268" s="40"/>
      <c r="CE268" s="40"/>
      <c r="CF268" s="40"/>
      <c r="CG268" s="40"/>
      <c r="CH268" s="40"/>
      <c r="CI268" s="40"/>
      <c r="CJ268" s="40"/>
      <c r="CK268" s="40"/>
      <c r="CL268" s="40"/>
      <c r="CM268" s="40"/>
      <c r="CN268" s="40"/>
      <c r="CO268" s="40"/>
      <c r="CP268" s="40"/>
      <c r="CQ268" s="40"/>
      <c r="CR268" s="40"/>
      <c r="CS268" s="40"/>
    </row>
    <row r="269" spans="1:97">
      <c r="A269" s="393">
        <v>720</v>
      </c>
      <c r="B269" s="238">
        <v>200</v>
      </c>
      <c r="C269" s="238">
        <v>300</v>
      </c>
      <c r="D269" s="238">
        <v>200</v>
      </c>
      <c r="E269" s="238">
        <v>90</v>
      </c>
      <c r="F269" s="238">
        <v>0</v>
      </c>
      <c r="G269" s="360" t="s">
        <v>3450</v>
      </c>
      <c r="H269" s="45" t="s">
        <v>529</v>
      </c>
      <c r="I269" s="47" t="s">
        <v>530</v>
      </c>
      <c r="J269" s="47"/>
      <c r="K269" s="203">
        <f t="shared" si="8"/>
        <v>21556.03</v>
      </c>
      <c r="L269" s="203">
        <v>21556.03</v>
      </c>
      <c r="M269" s="203"/>
      <c r="N269" s="203">
        <f t="shared" si="9"/>
        <v>903102.15</v>
      </c>
      <c r="O269" s="203">
        <v>903102.15</v>
      </c>
      <c r="P269" s="203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  <c r="BN269" s="40"/>
      <c r="BO269" s="40"/>
      <c r="BP269" s="40"/>
      <c r="BQ269" s="40"/>
      <c r="BR269" s="40"/>
      <c r="BS269" s="40"/>
      <c r="BT269" s="40"/>
      <c r="BU269" s="40"/>
      <c r="BV269" s="40"/>
      <c r="BW269" s="40"/>
      <c r="BX269" s="40"/>
      <c r="BY269" s="40"/>
      <c r="BZ269" s="40"/>
      <c r="CA269" s="40"/>
      <c r="CB269" s="40"/>
      <c r="CC269" s="40"/>
      <c r="CD269" s="40"/>
      <c r="CE269" s="40"/>
      <c r="CF269" s="40"/>
      <c r="CG269" s="40"/>
      <c r="CH269" s="40"/>
      <c r="CI269" s="40"/>
      <c r="CJ269" s="40"/>
      <c r="CK269" s="40"/>
      <c r="CL269" s="40"/>
      <c r="CM269" s="40"/>
      <c r="CN269" s="40"/>
      <c r="CO269" s="40"/>
      <c r="CP269" s="40"/>
      <c r="CQ269" s="40"/>
      <c r="CR269" s="40"/>
      <c r="CS269" s="40"/>
    </row>
    <row r="270" spans="1:97" ht="13.5" thickBot="1">
      <c r="A270" s="396">
        <v>720</v>
      </c>
      <c r="B270" s="246">
        <v>200</v>
      </c>
      <c r="C270" s="246">
        <v>400</v>
      </c>
      <c r="D270" s="246">
        <v>0</v>
      </c>
      <c r="E270" s="246">
        <v>0</v>
      </c>
      <c r="F270" s="246">
        <v>0</v>
      </c>
      <c r="G270" s="367" t="s">
        <v>3451</v>
      </c>
      <c r="H270" s="51" t="s">
        <v>487</v>
      </c>
      <c r="I270" s="52" t="s">
        <v>531</v>
      </c>
      <c r="J270" s="52"/>
      <c r="K270" s="207">
        <f t="shared" si="8"/>
        <v>20.85</v>
      </c>
      <c r="L270" s="207">
        <v>20.85</v>
      </c>
      <c r="M270" s="207"/>
      <c r="N270" s="207">
        <f t="shared" si="9"/>
        <v>197.81</v>
      </c>
      <c r="O270" s="207">
        <v>197.81</v>
      </c>
      <c r="P270" s="207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  <c r="BH270" s="40"/>
      <c r="BI270" s="40"/>
      <c r="BJ270" s="40"/>
      <c r="BK270" s="40"/>
      <c r="BL270" s="40"/>
      <c r="BM270" s="40"/>
      <c r="BN270" s="40"/>
      <c r="BO270" s="40"/>
      <c r="BP270" s="40"/>
      <c r="BQ270" s="40"/>
      <c r="BR270" s="40"/>
      <c r="BS270" s="40"/>
      <c r="BT270" s="40"/>
      <c r="BU270" s="40"/>
      <c r="BV270" s="40"/>
      <c r="BW270" s="40"/>
      <c r="BX270" s="40"/>
      <c r="BY270" s="40"/>
      <c r="BZ270" s="40"/>
      <c r="CA270" s="40"/>
      <c r="CB270" s="40"/>
      <c r="CC270" s="40"/>
      <c r="CD270" s="40"/>
      <c r="CE270" s="40"/>
      <c r="CF270" s="40"/>
      <c r="CG270" s="40"/>
      <c r="CH270" s="40"/>
      <c r="CI270" s="40"/>
      <c r="CJ270" s="40"/>
      <c r="CK270" s="40"/>
      <c r="CL270" s="40"/>
      <c r="CM270" s="40"/>
      <c r="CN270" s="40"/>
      <c r="CO270" s="40"/>
      <c r="CP270" s="40"/>
      <c r="CQ270" s="40"/>
      <c r="CR270" s="40"/>
      <c r="CS270" s="40"/>
    </row>
    <row r="271" spans="1:97">
      <c r="A271" s="397"/>
      <c r="B271" s="397"/>
      <c r="C271" s="397"/>
      <c r="D271" s="397"/>
      <c r="E271" s="397"/>
      <c r="F271" s="397"/>
      <c r="G271" s="180"/>
      <c r="H271" s="46" t="s">
        <v>532</v>
      </c>
      <c r="I271" s="53"/>
      <c r="J271" s="53"/>
      <c r="K271" s="368">
        <f t="shared" ref="K271:N271" si="10">SUM(K5:K270)</f>
        <v>105597976.19</v>
      </c>
      <c r="L271" s="368">
        <f t="shared" si="10"/>
        <v>105597976.19</v>
      </c>
      <c r="M271" s="368">
        <f t="shared" si="10"/>
        <v>0</v>
      </c>
      <c r="N271" s="368">
        <f t="shared" si="10"/>
        <v>99896342.200000018</v>
      </c>
      <c r="O271" s="368"/>
      <c r="P271" s="368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  <c r="BI271" s="40"/>
      <c r="BJ271" s="40"/>
      <c r="BK271" s="40"/>
      <c r="BL271" s="40"/>
      <c r="BM271" s="40"/>
      <c r="BN271" s="40"/>
      <c r="BO271" s="40"/>
      <c r="BP271" s="40"/>
      <c r="BQ271" s="40"/>
      <c r="BR271" s="40"/>
      <c r="BS271" s="40"/>
      <c r="BT271" s="40"/>
      <c r="BU271" s="40"/>
      <c r="BV271" s="40"/>
      <c r="BW271" s="40"/>
      <c r="BX271" s="40"/>
      <c r="BY271" s="40"/>
      <c r="BZ271" s="40"/>
      <c r="CA271" s="40"/>
      <c r="CB271" s="40"/>
      <c r="CC271" s="40"/>
      <c r="CD271" s="40"/>
      <c r="CE271" s="40"/>
      <c r="CF271" s="40"/>
      <c r="CG271" s="40"/>
      <c r="CH271" s="40"/>
      <c r="CI271" s="40"/>
      <c r="CJ271" s="40"/>
      <c r="CK271" s="40"/>
      <c r="CL271" s="40"/>
      <c r="CM271" s="40"/>
      <c r="CN271" s="40"/>
      <c r="CO271" s="40"/>
      <c r="CP271" s="40"/>
      <c r="CQ271" s="40"/>
      <c r="CR271" s="40"/>
      <c r="CS271" s="40"/>
    </row>
    <row r="272" spans="1:97">
      <c r="A272" s="397"/>
      <c r="B272" s="397"/>
      <c r="C272" s="397"/>
      <c r="D272" s="397"/>
      <c r="E272" s="397"/>
      <c r="F272" s="397"/>
      <c r="G272" s="180"/>
      <c r="H272" s="46" t="s">
        <v>533</v>
      </c>
      <c r="I272" s="53"/>
      <c r="J272" s="53"/>
      <c r="K272" s="368">
        <f>+'Alimentazione CE Costi'!K1023</f>
        <v>105597976.18999997</v>
      </c>
      <c r="L272" s="368">
        <f>+'Alimentazione CE Costi'!L1023</f>
        <v>105597976.18999997</v>
      </c>
      <c r="M272" s="368">
        <f>+'Alimentazione CE Costi'!M1023</f>
        <v>0</v>
      </c>
      <c r="N272" s="368">
        <f>+'Alimentazione CE Costi'!N1023</f>
        <v>99880742.473636404</v>
      </c>
      <c r="O272" s="368"/>
      <c r="P272" s="368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  <c r="BI272" s="40"/>
      <c r="BJ272" s="40"/>
      <c r="BK272" s="40"/>
      <c r="BL272" s="40"/>
      <c r="BM272" s="40"/>
      <c r="BN272" s="40"/>
      <c r="BO272" s="40"/>
      <c r="BP272" s="40"/>
      <c r="BQ272" s="40"/>
      <c r="BR272" s="40"/>
      <c r="BS272" s="40"/>
      <c r="BT272" s="40"/>
      <c r="BU272" s="40"/>
      <c r="BV272" s="40"/>
      <c r="BW272" s="40"/>
      <c r="BX272" s="40"/>
      <c r="BY272" s="40"/>
      <c r="BZ272" s="40"/>
      <c r="CA272" s="40"/>
      <c r="CB272" s="40"/>
      <c r="CC272" s="40"/>
      <c r="CD272" s="40"/>
      <c r="CE272" s="40"/>
      <c r="CF272" s="40"/>
      <c r="CG272" s="40"/>
      <c r="CH272" s="40"/>
      <c r="CI272" s="40"/>
      <c r="CJ272" s="40"/>
      <c r="CK272" s="40"/>
      <c r="CL272" s="40"/>
      <c r="CM272" s="40"/>
      <c r="CN272" s="40"/>
      <c r="CO272" s="40"/>
      <c r="CP272" s="40"/>
      <c r="CQ272" s="40"/>
      <c r="CR272" s="40"/>
      <c r="CS272" s="40"/>
    </row>
    <row r="273" spans="1:97">
      <c r="A273" s="397"/>
      <c r="B273" s="397"/>
      <c r="C273" s="397"/>
      <c r="D273" s="397"/>
      <c r="E273" s="397"/>
      <c r="F273" s="397"/>
      <c r="G273" s="180"/>
      <c r="H273" s="46" t="s">
        <v>534</v>
      </c>
      <c r="I273" s="53"/>
      <c r="J273" s="53"/>
      <c r="K273" s="368">
        <f t="shared" ref="K273:N273" si="11">+K271-K272</f>
        <v>0</v>
      </c>
      <c r="L273" s="368">
        <f t="shared" si="11"/>
        <v>0</v>
      </c>
      <c r="M273" s="368">
        <f t="shared" si="11"/>
        <v>0</v>
      </c>
      <c r="N273" s="368">
        <f t="shared" si="11"/>
        <v>15599.726363614202</v>
      </c>
      <c r="O273" s="368"/>
      <c r="P273" s="368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  <c r="BM273" s="40"/>
      <c r="BN273" s="40"/>
      <c r="BO273" s="40"/>
      <c r="BP273" s="40"/>
      <c r="BQ273" s="40"/>
      <c r="BR273" s="40"/>
      <c r="BS273" s="40"/>
      <c r="BT273" s="40"/>
      <c r="BU273" s="40"/>
      <c r="BV273" s="40"/>
      <c r="BW273" s="40"/>
      <c r="BX273" s="40"/>
      <c r="BY273" s="40"/>
      <c r="BZ273" s="40"/>
      <c r="CA273" s="40"/>
      <c r="CB273" s="40"/>
      <c r="CC273" s="40"/>
      <c r="CD273" s="40"/>
      <c r="CE273" s="40"/>
      <c r="CF273" s="40"/>
      <c r="CG273" s="40"/>
      <c r="CH273" s="40"/>
      <c r="CI273" s="40"/>
      <c r="CJ273" s="40"/>
      <c r="CK273" s="40"/>
      <c r="CL273" s="40"/>
      <c r="CM273" s="40"/>
      <c r="CN273" s="40"/>
      <c r="CO273" s="40"/>
      <c r="CP273" s="40"/>
      <c r="CQ273" s="40"/>
      <c r="CR273" s="40"/>
      <c r="CS273" s="40"/>
    </row>
    <row r="274" spans="1:97">
      <c r="A274" s="397"/>
      <c r="B274" s="397"/>
      <c r="C274" s="397"/>
      <c r="D274" s="397"/>
      <c r="E274" s="397"/>
      <c r="F274" s="397"/>
      <c r="G274" s="180"/>
      <c r="H274" s="46"/>
      <c r="I274" s="53"/>
      <c r="J274" s="53"/>
      <c r="K274" s="192"/>
      <c r="L274" s="192"/>
      <c r="M274" s="192"/>
      <c r="N274" s="192"/>
      <c r="O274" s="192"/>
      <c r="P274" s="192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  <c r="BI274" s="40"/>
      <c r="BJ274" s="40"/>
      <c r="BK274" s="40"/>
      <c r="BL274" s="40"/>
      <c r="BM274" s="40"/>
      <c r="BN274" s="40"/>
      <c r="BO274" s="40"/>
      <c r="BP274" s="40"/>
      <c r="BQ274" s="40"/>
      <c r="BR274" s="40"/>
      <c r="BS274" s="40"/>
      <c r="BT274" s="40"/>
      <c r="BU274" s="40"/>
      <c r="BV274" s="40"/>
      <c r="BW274" s="40"/>
      <c r="BX274" s="40"/>
      <c r="BY274" s="40"/>
      <c r="BZ274" s="40"/>
      <c r="CA274" s="40"/>
      <c r="CB274" s="40"/>
      <c r="CC274" s="40"/>
      <c r="CD274" s="40"/>
      <c r="CE274" s="40"/>
      <c r="CF274" s="40"/>
      <c r="CG274" s="40"/>
      <c r="CH274" s="40"/>
      <c r="CI274" s="40"/>
      <c r="CJ274" s="40"/>
      <c r="CK274" s="40"/>
      <c r="CL274" s="40"/>
      <c r="CM274" s="40"/>
      <c r="CN274" s="40"/>
      <c r="CO274" s="40"/>
      <c r="CP274" s="40"/>
      <c r="CQ274" s="40"/>
      <c r="CR274" s="40"/>
      <c r="CS274" s="40"/>
    </row>
    <row r="275" spans="1:97">
      <c r="A275" s="397"/>
      <c r="B275" s="397"/>
      <c r="C275" s="397"/>
      <c r="D275" s="397"/>
      <c r="E275" s="397"/>
      <c r="F275" s="397"/>
      <c r="G275" s="180"/>
      <c r="H275" s="46"/>
      <c r="I275" s="53"/>
      <c r="J275" s="53"/>
      <c r="K275" s="208"/>
      <c r="L275" s="208"/>
      <c r="M275" s="208"/>
      <c r="N275" s="208"/>
      <c r="O275" s="208"/>
      <c r="P275" s="208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  <c r="BI275" s="40"/>
      <c r="BJ275" s="40"/>
      <c r="BK275" s="40"/>
      <c r="BL275" s="40"/>
      <c r="BM275" s="40"/>
      <c r="BN275" s="40"/>
      <c r="BO275" s="40"/>
      <c r="BP275" s="40"/>
      <c r="BQ275" s="40"/>
      <c r="BR275" s="40"/>
      <c r="BS275" s="40"/>
      <c r="BT275" s="40"/>
      <c r="BU275" s="40"/>
      <c r="BV275" s="40"/>
      <c r="BW275" s="40"/>
      <c r="BX275" s="40"/>
      <c r="BY275" s="40"/>
      <c r="BZ275" s="40"/>
      <c r="CA275" s="40"/>
      <c r="CB275" s="40"/>
      <c r="CC275" s="40"/>
      <c r="CD275" s="40"/>
      <c r="CE275" s="40"/>
      <c r="CF275" s="40"/>
      <c r="CG275" s="40"/>
      <c r="CH275" s="40"/>
      <c r="CI275" s="40"/>
      <c r="CJ275" s="40"/>
      <c r="CK275" s="40"/>
      <c r="CL275" s="40"/>
      <c r="CM275" s="40"/>
      <c r="CN275" s="40"/>
      <c r="CO275" s="40"/>
      <c r="CP275" s="40"/>
      <c r="CQ275" s="40"/>
      <c r="CR275" s="40"/>
      <c r="CS275" s="40"/>
    </row>
    <row r="276" spans="1:97">
      <c r="A276" s="397"/>
      <c r="B276" s="397"/>
      <c r="C276" s="397"/>
      <c r="D276" s="397"/>
      <c r="E276" s="397"/>
      <c r="F276" s="397"/>
      <c r="G276" s="180"/>
      <c r="H276" s="46"/>
      <c r="I276" s="53"/>
      <c r="J276" s="53"/>
      <c r="K276" s="208"/>
      <c r="L276" s="208"/>
      <c r="M276" s="208"/>
      <c r="N276" s="208"/>
      <c r="O276" s="208"/>
      <c r="P276" s="208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  <c r="BH276" s="40"/>
      <c r="BI276" s="40"/>
      <c r="BJ276" s="40"/>
      <c r="BK276" s="40"/>
      <c r="BL276" s="40"/>
      <c r="BM276" s="40"/>
      <c r="BN276" s="40"/>
      <c r="BO276" s="40"/>
      <c r="BP276" s="40"/>
      <c r="BQ276" s="40"/>
      <c r="BR276" s="40"/>
      <c r="BS276" s="40"/>
      <c r="BT276" s="40"/>
      <c r="BU276" s="40"/>
      <c r="BV276" s="40"/>
      <c r="BW276" s="40"/>
      <c r="BX276" s="40"/>
      <c r="BY276" s="40"/>
      <c r="BZ276" s="40"/>
      <c r="CA276" s="40"/>
      <c r="CB276" s="40"/>
      <c r="CC276" s="40"/>
      <c r="CD276" s="40"/>
      <c r="CE276" s="40"/>
      <c r="CF276" s="40"/>
      <c r="CG276" s="40"/>
      <c r="CH276" s="40"/>
      <c r="CI276" s="40"/>
      <c r="CJ276" s="40"/>
      <c r="CK276" s="40"/>
      <c r="CL276" s="40"/>
      <c r="CM276" s="40"/>
      <c r="CN276" s="40"/>
      <c r="CO276" s="40"/>
      <c r="CP276" s="40"/>
      <c r="CQ276" s="40"/>
      <c r="CR276" s="40"/>
      <c r="CS276" s="40"/>
    </row>
    <row r="277" spans="1:97">
      <c r="A277" s="397"/>
      <c r="B277" s="397"/>
      <c r="C277" s="397"/>
      <c r="D277" s="397"/>
      <c r="E277" s="397"/>
      <c r="F277" s="397"/>
      <c r="G277" s="180"/>
      <c r="H277" s="46"/>
      <c r="I277" s="53"/>
      <c r="J277" s="53"/>
      <c r="K277" s="208"/>
      <c r="L277" s="208"/>
      <c r="M277" s="208"/>
      <c r="N277" s="208"/>
      <c r="O277" s="208"/>
      <c r="P277" s="208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  <c r="BM277" s="40"/>
      <c r="BN277" s="40"/>
      <c r="BO277" s="40"/>
      <c r="BP277" s="40"/>
      <c r="BQ277" s="40"/>
      <c r="BR277" s="40"/>
      <c r="BS277" s="40"/>
      <c r="BT277" s="40"/>
      <c r="BU277" s="40"/>
      <c r="BV277" s="40"/>
      <c r="BW277" s="40"/>
      <c r="BX277" s="40"/>
      <c r="BY277" s="40"/>
      <c r="BZ277" s="40"/>
      <c r="CA277" s="40"/>
      <c r="CB277" s="40"/>
      <c r="CC277" s="40"/>
      <c r="CD277" s="40"/>
      <c r="CE277" s="40"/>
      <c r="CF277" s="40"/>
      <c r="CG277" s="40"/>
      <c r="CH277" s="40"/>
      <c r="CI277" s="40"/>
      <c r="CJ277" s="40"/>
      <c r="CK277" s="40"/>
      <c r="CL277" s="40"/>
      <c r="CM277" s="40"/>
      <c r="CN277" s="40"/>
      <c r="CO277" s="40"/>
      <c r="CP277" s="40"/>
      <c r="CQ277" s="40"/>
      <c r="CR277" s="40"/>
      <c r="CS277" s="40"/>
    </row>
    <row r="278" spans="1:97">
      <c r="A278" s="397"/>
      <c r="B278" s="397"/>
      <c r="C278" s="397"/>
      <c r="D278" s="397"/>
      <c r="E278" s="397"/>
      <c r="F278" s="397"/>
      <c r="G278" s="180"/>
      <c r="H278" s="46"/>
      <c r="I278" s="53"/>
      <c r="J278" s="53"/>
      <c r="K278" s="208"/>
      <c r="L278" s="208"/>
      <c r="M278" s="208"/>
      <c r="N278" s="208"/>
      <c r="O278" s="208"/>
      <c r="P278" s="208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  <c r="BI278" s="40"/>
      <c r="BJ278" s="40"/>
      <c r="BK278" s="40"/>
      <c r="BL278" s="40"/>
      <c r="BM278" s="40"/>
      <c r="BN278" s="40"/>
      <c r="BO278" s="40"/>
      <c r="BP278" s="40"/>
      <c r="BQ278" s="40"/>
      <c r="BR278" s="40"/>
      <c r="BS278" s="40"/>
      <c r="BT278" s="40"/>
      <c r="BU278" s="40"/>
      <c r="BV278" s="40"/>
      <c r="BW278" s="40"/>
      <c r="BX278" s="40"/>
      <c r="BY278" s="40"/>
      <c r="BZ278" s="40"/>
      <c r="CA278" s="40"/>
      <c r="CB278" s="40"/>
      <c r="CC278" s="40"/>
      <c r="CD278" s="40"/>
      <c r="CE278" s="40"/>
      <c r="CF278" s="40"/>
      <c r="CG278" s="40"/>
      <c r="CH278" s="40"/>
      <c r="CI278" s="40"/>
      <c r="CJ278" s="40"/>
      <c r="CK278" s="40"/>
      <c r="CL278" s="40"/>
      <c r="CM278" s="40"/>
      <c r="CN278" s="40"/>
      <c r="CO278" s="40"/>
      <c r="CP278" s="40"/>
      <c r="CQ278" s="40"/>
      <c r="CR278" s="40"/>
      <c r="CS278" s="40"/>
    </row>
    <row r="279" spans="1:97">
      <c r="A279" s="397"/>
      <c r="B279" s="397"/>
      <c r="C279" s="397"/>
      <c r="D279" s="397"/>
      <c r="E279" s="397"/>
      <c r="F279" s="397"/>
      <c r="G279" s="180"/>
      <c r="H279" s="46"/>
      <c r="I279" s="53"/>
      <c r="J279" s="53"/>
      <c r="K279" s="208"/>
      <c r="L279" s="208"/>
      <c r="M279" s="208"/>
      <c r="N279" s="208"/>
      <c r="O279" s="208"/>
      <c r="P279" s="208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  <c r="BI279" s="40"/>
      <c r="BJ279" s="40"/>
      <c r="BK279" s="40"/>
      <c r="BL279" s="40"/>
      <c r="BM279" s="40"/>
      <c r="BN279" s="40"/>
      <c r="BO279" s="40"/>
      <c r="BP279" s="40"/>
      <c r="BQ279" s="40"/>
      <c r="BR279" s="40"/>
      <c r="BS279" s="40"/>
      <c r="BT279" s="40"/>
      <c r="BU279" s="40"/>
      <c r="BV279" s="40"/>
      <c r="BW279" s="40"/>
      <c r="BX279" s="40"/>
      <c r="BY279" s="40"/>
      <c r="BZ279" s="40"/>
      <c r="CA279" s="40"/>
      <c r="CB279" s="40"/>
      <c r="CC279" s="40"/>
      <c r="CD279" s="40"/>
      <c r="CE279" s="40"/>
      <c r="CF279" s="40"/>
      <c r="CG279" s="40"/>
      <c r="CH279" s="40"/>
      <c r="CI279" s="40"/>
      <c r="CJ279" s="40"/>
      <c r="CK279" s="40"/>
      <c r="CL279" s="40"/>
      <c r="CM279" s="40"/>
      <c r="CN279" s="40"/>
      <c r="CO279" s="40"/>
      <c r="CP279" s="40"/>
      <c r="CQ279" s="40"/>
      <c r="CR279" s="40"/>
      <c r="CS279" s="40"/>
    </row>
    <row r="280" spans="1:97">
      <c r="A280" s="397"/>
      <c r="B280" s="397"/>
      <c r="C280" s="397"/>
      <c r="D280" s="397"/>
      <c r="E280" s="397"/>
      <c r="F280" s="397"/>
      <c r="G280" s="180"/>
      <c r="H280" s="46"/>
      <c r="I280" s="53"/>
      <c r="J280" s="53"/>
      <c r="K280" s="208"/>
      <c r="L280" s="208"/>
      <c r="M280" s="208"/>
      <c r="N280" s="208"/>
      <c r="O280" s="208"/>
      <c r="P280" s="208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40"/>
      <c r="BN280" s="40"/>
      <c r="BO280" s="40"/>
      <c r="BP280" s="40"/>
      <c r="BQ280" s="40"/>
      <c r="BR280" s="40"/>
      <c r="BS280" s="40"/>
      <c r="BT280" s="40"/>
      <c r="BU280" s="40"/>
      <c r="BV280" s="40"/>
      <c r="BW280" s="40"/>
      <c r="BX280" s="40"/>
      <c r="BY280" s="40"/>
      <c r="BZ280" s="40"/>
      <c r="CA280" s="40"/>
      <c r="CB280" s="40"/>
      <c r="CC280" s="40"/>
      <c r="CD280" s="40"/>
      <c r="CE280" s="40"/>
      <c r="CF280" s="40"/>
      <c r="CG280" s="40"/>
      <c r="CH280" s="40"/>
      <c r="CI280" s="40"/>
      <c r="CJ280" s="40"/>
      <c r="CK280" s="40"/>
      <c r="CL280" s="40"/>
      <c r="CM280" s="40"/>
      <c r="CN280" s="40"/>
      <c r="CO280" s="40"/>
      <c r="CP280" s="40"/>
      <c r="CQ280" s="40"/>
      <c r="CR280" s="40"/>
      <c r="CS280" s="40"/>
    </row>
    <row r="281" spans="1:97">
      <c r="A281" s="397"/>
      <c r="B281" s="397"/>
      <c r="C281" s="397"/>
      <c r="D281" s="397"/>
      <c r="E281" s="397"/>
      <c r="F281" s="397"/>
      <c r="G281" s="180"/>
      <c r="H281" s="46"/>
      <c r="I281" s="53"/>
      <c r="J281" s="53"/>
      <c r="K281" s="208"/>
      <c r="L281" s="208"/>
      <c r="M281" s="208"/>
      <c r="N281" s="208"/>
      <c r="O281" s="208"/>
      <c r="P281" s="208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  <c r="BI281" s="40"/>
      <c r="BJ281" s="40"/>
      <c r="BK281" s="40"/>
      <c r="BL281" s="40"/>
      <c r="BM281" s="40"/>
      <c r="BN281" s="40"/>
      <c r="BO281" s="40"/>
      <c r="BP281" s="40"/>
      <c r="BQ281" s="40"/>
      <c r="BR281" s="40"/>
      <c r="BS281" s="40"/>
      <c r="BT281" s="40"/>
      <c r="BU281" s="40"/>
      <c r="BV281" s="40"/>
      <c r="BW281" s="40"/>
      <c r="BX281" s="40"/>
      <c r="BY281" s="40"/>
      <c r="BZ281" s="40"/>
      <c r="CA281" s="40"/>
      <c r="CB281" s="40"/>
      <c r="CC281" s="40"/>
      <c r="CD281" s="40"/>
      <c r="CE281" s="40"/>
      <c r="CF281" s="40"/>
      <c r="CG281" s="40"/>
      <c r="CH281" s="40"/>
      <c r="CI281" s="40"/>
      <c r="CJ281" s="40"/>
      <c r="CK281" s="40"/>
      <c r="CL281" s="40"/>
      <c r="CM281" s="40"/>
      <c r="CN281" s="40"/>
      <c r="CO281" s="40"/>
      <c r="CP281" s="40"/>
      <c r="CQ281" s="40"/>
      <c r="CR281" s="40"/>
      <c r="CS281" s="40"/>
    </row>
    <row r="282" spans="1:97">
      <c r="A282" s="397"/>
      <c r="B282" s="397"/>
      <c r="C282" s="397"/>
      <c r="D282" s="397"/>
      <c r="E282" s="397"/>
      <c r="F282" s="397"/>
      <c r="G282" s="180"/>
      <c r="H282" s="46"/>
      <c r="I282" s="53"/>
      <c r="J282" s="53"/>
      <c r="K282" s="208"/>
      <c r="L282" s="208"/>
      <c r="M282" s="208"/>
      <c r="N282" s="208"/>
      <c r="O282" s="208"/>
      <c r="P282" s="208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40"/>
      <c r="BN282" s="40"/>
      <c r="BO282" s="40"/>
      <c r="BP282" s="40"/>
      <c r="BQ282" s="40"/>
      <c r="BR282" s="40"/>
      <c r="BS282" s="40"/>
      <c r="BT282" s="40"/>
      <c r="BU282" s="40"/>
      <c r="BV282" s="40"/>
      <c r="BW282" s="40"/>
      <c r="BX282" s="40"/>
      <c r="BY282" s="40"/>
      <c r="BZ282" s="40"/>
      <c r="CA282" s="40"/>
      <c r="CB282" s="40"/>
      <c r="CC282" s="40"/>
      <c r="CD282" s="40"/>
      <c r="CE282" s="40"/>
      <c r="CF282" s="40"/>
      <c r="CG282" s="40"/>
      <c r="CH282" s="40"/>
      <c r="CI282" s="40"/>
      <c r="CJ282" s="40"/>
      <c r="CK282" s="40"/>
      <c r="CL282" s="40"/>
      <c r="CM282" s="40"/>
      <c r="CN282" s="40"/>
      <c r="CO282" s="40"/>
      <c r="CP282" s="40"/>
      <c r="CQ282" s="40"/>
      <c r="CR282" s="40"/>
      <c r="CS282" s="40"/>
    </row>
    <row r="283" spans="1:97">
      <c r="A283" s="397"/>
      <c r="B283" s="397"/>
      <c r="C283" s="397"/>
      <c r="D283" s="397"/>
      <c r="E283" s="397"/>
      <c r="F283" s="397"/>
      <c r="G283" s="180"/>
      <c r="H283" s="46"/>
      <c r="I283" s="53"/>
      <c r="J283" s="53"/>
      <c r="K283" s="208"/>
      <c r="L283" s="208"/>
      <c r="M283" s="208"/>
      <c r="N283" s="208"/>
      <c r="O283" s="208"/>
      <c r="P283" s="208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  <c r="BI283" s="40"/>
      <c r="BJ283" s="40"/>
      <c r="BK283" s="40"/>
      <c r="BL283" s="40"/>
      <c r="BM283" s="40"/>
      <c r="BN283" s="40"/>
      <c r="BO283" s="40"/>
      <c r="BP283" s="40"/>
      <c r="BQ283" s="40"/>
      <c r="BR283" s="40"/>
      <c r="BS283" s="40"/>
      <c r="BT283" s="40"/>
      <c r="BU283" s="40"/>
      <c r="BV283" s="40"/>
      <c r="BW283" s="40"/>
      <c r="BX283" s="40"/>
      <c r="BY283" s="40"/>
      <c r="BZ283" s="40"/>
      <c r="CA283" s="40"/>
      <c r="CB283" s="40"/>
      <c r="CC283" s="40"/>
      <c r="CD283" s="40"/>
      <c r="CE283" s="40"/>
      <c r="CF283" s="40"/>
      <c r="CG283" s="40"/>
      <c r="CH283" s="40"/>
      <c r="CI283" s="40"/>
      <c r="CJ283" s="40"/>
      <c r="CK283" s="40"/>
      <c r="CL283" s="40"/>
      <c r="CM283" s="40"/>
      <c r="CN283" s="40"/>
      <c r="CO283" s="40"/>
      <c r="CP283" s="40"/>
      <c r="CQ283" s="40"/>
      <c r="CR283" s="40"/>
      <c r="CS283" s="40"/>
    </row>
    <row r="284" spans="1:97">
      <c r="A284" s="397"/>
      <c r="B284" s="397"/>
      <c r="C284" s="397"/>
      <c r="D284" s="397"/>
      <c r="E284" s="397"/>
      <c r="F284" s="397"/>
      <c r="G284" s="180"/>
      <c r="H284" s="46"/>
      <c r="I284" s="53"/>
      <c r="J284" s="53"/>
      <c r="K284" s="208"/>
      <c r="L284" s="208"/>
      <c r="M284" s="208"/>
      <c r="N284" s="208"/>
      <c r="O284" s="208"/>
      <c r="P284" s="208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40"/>
      <c r="CC284" s="40"/>
      <c r="CD284" s="40"/>
      <c r="CE284" s="40"/>
      <c r="CF284" s="40"/>
      <c r="CG284" s="40"/>
      <c r="CH284" s="40"/>
      <c r="CI284" s="40"/>
      <c r="CJ284" s="40"/>
      <c r="CK284" s="40"/>
      <c r="CL284" s="40"/>
      <c r="CM284" s="40"/>
      <c r="CN284" s="40"/>
      <c r="CO284" s="40"/>
      <c r="CP284" s="40"/>
      <c r="CQ284" s="40"/>
      <c r="CR284" s="40"/>
      <c r="CS284" s="40"/>
    </row>
    <row r="285" spans="1:97">
      <c r="A285" s="397"/>
      <c r="B285" s="397"/>
      <c r="C285" s="397"/>
      <c r="D285" s="397"/>
      <c r="E285" s="397"/>
      <c r="F285" s="397"/>
      <c r="G285" s="180"/>
      <c r="H285" s="46"/>
      <c r="I285" s="53"/>
      <c r="J285" s="53"/>
      <c r="K285" s="208"/>
      <c r="L285" s="208"/>
      <c r="M285" s="208"/>
      <c r="N285" s="208"/>
      <c r="O285" s="208"/>
      <c r="P285" s="208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  <c r="BH285" s="40"/>
      <c r="BI285" s="40"/>
      <c r="BJ285" s="40"/>
      <c r="BK285" s="40"/>
      <c r="BL285" s="40"/>
      <c r="BM285" s="40"/>
      <c r="BN285" s="40"/>
      <c r="BO285" s="40"/>
      <c r="BP285" s="40"/>
      <c r="BQ285" s="40"/>
      <c r="BR285" s="40"/>
      <c r="BS285" s="40"/>
      <c r="BT285" s="40"/>
      <c r="BU285" s="40"/>
      <c r="BV285" s="40"/>
      <c r="BW285" s="40"/>
      <c r="BX285" s="40"/>
      <c r="BY285" s="40"/>
      <c r="BZ285" s="40"/>
      <c r="CA285" s="40"/>
      <c r="CB285" s="40"/>
      <c r="CC285" s="40"/>
      <c r="CD285" s="40"/>
      <c r="CE285" s="40"/>
      <c r="CF285" s="40"/>
      <c r="CG285" s="40"/>
      <c r="CH285" s="40"/>
      <c r="CI285" s="40"/>
      <c r="CJ285" s="40"/>
      <c r="CK285" s="40"/>
      <c r="CL285" s="40"/>
      <c r="CM285" s="40"/>
      <c r="CN285" s="40"/>
      <c r="CO285" s="40"/>
      <c r="CP285" s="40"/>
      <c r="CQ285" s="40"/>
      <c r="CR285" s="40"/>
      <c r="CS285" s="40"/>
    </row>
    <row r="286" spans="1:97">
      <c r="A286" s="397"/>
      <c r="B286" s="397"/>
      <c r="C286" s="397"/>
      <c r="D286" s="397"/>
      <c r="E286" s="397"/>
      <c r="F286" s="397"/>
      <c r="G286" s="180"/>
      <c r="H286" s="46"/>
      <c r="I286" s="53"/>
      <c r="J286" s="53"/>
      <c r="K286" s="208"/>
      <c r="L286" s="208"/>
      <c r="M286" s="208"/>
      <c r="N286" s="208"/>
      <c r="O286" s="208"/>
      <c r="P286" s="208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40"/>
      <c r="BN286" s="40"/>
      <c r="BO286" s="40"/>
      <c r="BP286" s="40"/>
      <c r="BQ286" s="40"/>
      <c r="BR286" s="40"/>
      <c r="BS286" s="40"/>
      <c r="BT286" s="40"/>
      <c r="BU286" s="40"/>
      <c r="BV286" s="40"/>
      <c r="BW286" s="40"/>
      <c r="BX286" s="40"/>
      <c r="BY286" s="40"/>
      <c r="BZ286" s="40"/>
      <c r="CA286" s="40"/>
      <c r="CB286" s="40"/>
      <c r="CC286" s="40"/>
      <c r="CD286" s="40"/>
      <c r="CE286" s="40"/>
      <c r="CF286" s="40"/>
      <c r="CG286" s="40"/>
      <c r="CH286" s="40"/>
      <c r="CI286" s="40"/>
      <c r="CJ286" s="40"/>
      <c r="CK286" s="40"/>
      <c r="CL286" s="40"/>
      <c r="CM286" s="40"/>
      <c r="CN286" s="40"/>
      <c r="CO286" s="40"/>
      <c r="CP286" s="40"/>
      <c r="CQ286" s="40"/>
      <c r="CR286" s="40"/>
      <c r="CS286" s="40"/>
    </row>
    <row r="287" spans="1:97">
      <c r="A287" s="397"/>
      <c r="B287" s="397"/>
      <c r="C287" s="397"/>
      <c r="D287" s="397"/>
      <c r="E287" s="397"/>
      <c r="F287" s="397"/>
      <c r="G287" s="180"/>
      <c r="H287" s="46"/>
      <c r="I287" s="53"/>
      <c r="J287" s="53"/>
      <c r="K287" s="208"/>
      <c r="L287" s="208"/>
      <c r="M287" s="208"/>
      <c r="N287" s="208"/>
      <c r="O287" s="208"/>
      <c r="P287" s="208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  <c r="BN287" s="40"/>
      <c r="BO287" s="40"/>
      <c r="BP287" s="40"/>
      <c r="BQ287" s="40"/>
      <c r="BR287" s="40"/>
      <c r="BS287" s="40"/>
      <c r="BT287" s="40"/>
      <c r="BU287" s="40"/>
      <c r="BV287" s="40"/>
      <c r="BW287" s="40"/>
      <c r="BX287" s="40"/>
      <c r="BY287" s="40"/>
      <c r="BZ287" s="40"/>
      <c r="CA287" s="40"/>
      <c r="CB287" s="40"/>
      <c r="CC287" s="40"/>
      <c r="CD287" s="40"/>
      <c r="CE287" s="40"/>
      <c r="CF287" s="40"/>
      <c r="CG287" s="40"/>
      <c r="CH287" s="40"/>
      <c r="CI287" s="40"/>
      <c r="CJ287" s="40"/>
      <c r="CK287" s="40"/>
      <c r="CL287" s="40"/>
      <c r="CM287" s="40"/>
      <c r="CN287" s="40"/>
      <c r="CO287" s="40"/>
      <c r="CP287" s="40"/>
      <c r="CQ287" s="40"/>
      <c r="CR287" s="40"/>
      <c r="CS287" s="40"/>
    </row>
    <row r="288" spans="1:97">
      <c r="A288" s="397"/>
      <c r="B288" s="397"/>
      <c r="C288" s="397"/>
      <c r="D288" s="397"/>
      <c r="E288" s="397"/>
      <c r="F288" s="397"/>
      <c r="G288" s="180"/>
      <c r="H288" s="46"/>
      <c r="I288" s="53"/>
      <c r="J288" s="53"/>
      <c r="K288" s="208"/>
      <c r="L288" s="208"/>
      <c r="M288" s="208"/>
      <c r="N288" s="208"/>
      <c r="O288" s="208"/>
      <c r="P288" s="208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40"/>
      <c r="BN288" s="40"/>
      <c r="BO288" s="40"/>
      <c r="BP288" s="40"/>
      <c r="BQ288" s="40"/>
      <c r="BR288" s="40"/>
      <c r="BS288" s="40"/>
      <c r="BT288" s="40"/>
      <c r="BU288" s="40"/>
      <c r="BV288" s="40"/>
      <c r="BW288" s="40"/>
      <c r="BX288" s="40"/>
      <c r="BY288" s="40"/>
      <c r="BZ288" s="40"/>
      <c r="CA288" s="40"/>
      <c r="CB288" s="40"/>
      <c r="CC288" s="40"/>
      <c r="CD288" s="40"/>
      <c r="CE288" s="40"/>
      <c r="CF288" s="40"/>
      <c r="CG288" s="40"/>
      <c r="CH288" s="40"/>
      <c r="CI288" s="40"/>
      <c r="CJ288" s="40"/>
      <c r="CK288" s="40"/>
      <c r="CL288" s="40"/>
      <c r="CM288" s="40"/>
      <c r="CN288" s="40"/>
      <c r="CO288" s="40"/>
      <c r="CP288" s="40"/>
      <c r="CQ288" s="40"/>
      <c r="CR288" s="40"/>
      <c r="CS288" s="40"/>
    </row>
    <row r="289" spans="1:97">
      <c r="A289" s="397"/>
      <c r="B289" s="397"/>
      <c r="C289" s="397"/>
      <c r="D289" s="397"/>
      <c r="E289" s="397"/>
      <c r="F289" s="397"/>
      <c r="G289" s="180"/>
      <c r="H289" s="46"/>
      <c r="I289" s="53"/>
      <c r="J289" s="53"/>
      <c r="K289" s="208"/>
      <c r="L289" s="208"/>
      <c r="M289" s="208"/>
      <c r="N289" s="208"/>
      <c r="O289" s="208"/>
      <c r="P289" s="208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  <c r="BI289" s="40"/>
      <c r="BJ289" s="40"/>
      <c r="BK289" s="40"/>
      <c r="BL289" s="40"/>
      <c r="BM289" s="40"/>
      <c r="BN289" s="40"/>
      <c r="BO289" s="40"/>
      <c r="BP289" s="40"/>
      <c r="BQ289" s="40"/>
      <c r="BR289" s="40"/>
      <c r="BS289" s="40"/>
      <c r="BT289" s="40"/>
      <c r="BU289" s="40"/>
      <c r="BV289" s="40"/>
      <c r="BW289" s="40"/>
      <c r="BX289" s="40"/>
      <c r="BY289" s="40"/>
      <c r="BZ289" s="40"/>
      <c r="CA289" s="40"/>
      <c r="CB289" s="40"/>
      <c r="CC289" s="40"/>
      <c r="CD289" s="40"/>
      <c r="CE289" s="40"/>
      <c r="CF289" s="40"/>
      <c r="CG289" s="40"/>
      <c r="CH289" s="40"/>
      <c r="CI289" s="40"/>
      <c r="CJ289" s="40"/>
      <c r="CK289" s="40"/>
      <c r="CL289" s="40"/>
      <c r="CM289" s="40"/>
      <c r="CN289" s="40"/>
      <c r="CO289" s="40"/>
      <c r="CP289" s="40"/>
      <c r="CQ289" s="40"/>
      <c r="CR289" s="40"/>
      <c r="CS289" s="40"/>
    </row>
    <row r="290" spans="1:97">
      <c r="A290" s="397"/>
      <c r="B290" s="397"/>
      <c r="C290" s="397"/>
      <c r="D290" s="397"/>
      <c r="E290" s="397"/>
      <c r="F290" s="397"/>
      <c r="G290" s="180"/>
      <c r="H290" s="46"/>
      <c r="I290" s="53"/>
      <c r="J290" s="53"/>
      <c r="K290" s="208"/>
      <c r="L290" s="208"/>
      <c r="M290" s="208"/>
      <c r="N290" s="208"/>
      <c r="O290" s="208"/>
      <c r="P290" s="208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  <c r="BI290" s="40"/>
      <c r="BJ290" s="40"/>
      <c r="BK290" s="40"/>
      <c r="BL290" s="40"/>
      <c r="BM290" s="40"/>
      <c r="BN290" s="40"/>
      <c r="BO290" s="40"/>
      <c r="BP290" s="40"/>
      <c r="BQ290" s="40"/>
      <c r="BR290" s="40"/>
      <c r="BS290" s="40"/>
      <c r="BT290" s="40"/>
      <c r="BU290" s="40"/>
      <c r="BV290" s="40"/>
      <c r="BW290" s="40"/>
      <c r="BX290" s="40"/>
      <c r="BY290" s="40"/>
      <c r="BZ290" s="40"/>
      <c r="CA290" s="40"/>
      <c r="CB290" s="40"/>
      <c r="CC290" s="40"/>
      <c r="CD290" s="40"/>
      <c r="CE290" s="40"/>
      <c r="CF290" s="40"/>
      <c r="CG290" s="40"/>
      <c r="CH290" s="40"/>
      <c r="CI290" s="40"/>
      <c r="CJ290" s="40"/>
      <c r="CK290" s="40"/>
      <c r="CL290" s="40"/>
      <c r="CM290" s="40"/>
      <c r="CN290" s="40"/>
      <c r="CO290" s="40"/>
      <c r="CP290" s="40"/>
      <c r="CQ290" s="40"/>
      <c r="CR290" s="40"/>
      <c r="CS290" s="40"/>
    </row>
    <row r="291" spans="1:97">
      <c r="A291" s="397"/>
      <c r="B291" s="397"/>
      <c r="C291" s="397"/>
      <c r="D291" s="397"/>
      <c r="E291" s="397"/>
      <c r="F291" s="397"/>
      <c r="G291" s="180"/>
      <c r="H291" s="46"/>
      <c r="I291" s="53"/>
      <c r="J291" s="53"/>
      <c r="K291" s="208"/>
      <c r="L291" s="208"/>
      <c r="M291" s="208"/>
      <c r="N291" s="208"/>
      <c r="O291" s="208"/>
      <c r="P291" s="208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  <c r="BI291" s="40"/>
      <c r="BJ291" s="40"/>
      <c r="BK291" s="40"/>
      <c r="BL291" s="40"/>
      <c r="BM291" s="40"/>
      <c r="BN291" s="40"/>
      <c r="BO291" s="40"/>
      <c r="BP291" s="40"/>
      <c r="BQ291" s="40"/>
      <c r="BR291" s="40"/>
      <c r="BS291" s="40"/>
      <c r="BT291" s="40"/>
      <c r="BU291" s="40"/>
      <c r="BV291" s="40"/>
      <c r="BW291" s="40"/>
      <c r="BX291" s="40"/>
      <c r="BY291" s="40"/>
      <c r="BZ291" s="40"/>
      <c r="CA291" s="40"/>
      <c r="CB291" s="40"/>
      <c r="CC291" s="40"/>
      <c r="CD291" s="40"/>
      <c r="CE291" s="40"/>
      <c r="CF291" s="40"/>
      <c r="CG291" s="40"/>
      <c r="CH291" s="40"/>
      <c r="CI291" s="40"/>
      <c r="CJ291" s="40"/>
      <c r="CK291" s="40"/>
      <c r="CL291" s="40"/>
      <c r="CM291" s="40"/>
      <c r="CN291" s="40"/>
      <c r="CO291" s="40"/>
      <c r="CP291" s="40"/>
      <c r="CQ291" s="40"/>
      <c r="CR291" s="40"/>
      <c r="CS291" s="40"/>
    </row>
    <row r="292" spans="1:97">
      <c r="A292" s="397"/>
      <c r="B292" s="397"/>
      <c r="C292" s="397"/>
      <c r="D292" s="397"/>
      <c r="E292" s="397"/>
      <c r="F292" s="397"/>
      <c r="G292" s="180"/>
      <c r="H292" s="46"/>
      <c r="I292" s="53"/>
      <c r="J292" s="53"/>
      <c r="K292" s="208"/>
      <c r="L292" s="208"/>
      <c r="M292" s="208"/>
      <c r="N292" s="208"/>
      <c r="O292" s="208"/>
      <c r="P292" s="208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  <c r="BM292" s="40"/>
      <c r="BN292" s="40"/>
      <c r="BO292" s="40"/>
      <c r="BP292" s="40"/>
      <c r="BQ292" s="40"/>
      <c r="BR292" s="40"/>
      <c r="BS292" s="40"/>
      <c r="BT292" s="40"/>
      <c r="BU292" s="40"/>
      <c r="BV292" s="40"/>
      <c r="BW292" s="40"/>
      <c r="BX292" s="40"/>
      <c r="BY292" s="40"/>
      <c r="BZ292" s="40"/>
      <c r="CA292" s="40"/>
      <c r="CB292" s="40"/>
      <c r="CC292" s="40"/>
      <c r="CD292" s="40"/>
      <c r="CE292" s="40"/>
      <c r="CF292" s="40"/>
      <c r="CG292" s="40"/>
      <c r="CH292" s="40"/>
      <c r="CI292" s="40"/>
      <c r="CJ292" s="40"/>
      <c r="CK292" s="40"/>
      <c r="CL292" s="40"/>
      <c r="CM292" s="40"/>
      <c r="CN292" s="40"/>
      <c r="CO292" s="40"/>
      <c r="CP292" s="40"/>
      <c r="CQ292" s="40"/>
      <c r="CR292" s="40"/>
      <c r="CS292" s="40"/>
    </row>
    <row r="293" spans="1:97">
      <c r="A293" s="397"/>
      <c r="B293" s="397"/>
      <c r="C293" s="397"/>
      <c r="D293" s="397"/>
      <c r="E293" s="397"/>
      <c r="F293" s="397"/>
      <c r="G293" s="180"/>
      <c r="H293" s="46"/>
      <c r="I293" s="53"/>
      <c r="J293" s="53"/>
      <c r="K293" s="208"/>
      <c r="L293" s="208"/>
      <c r="M293" s="208"/>
      <c r="N293" s="208"/>
      <c r="O293" s="208"/>
      <c r="P293" s="208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  <c r="BH293" s="40"/>
      <c r="BI293" s="40"/>
      <c r="BJ293" s="40"/>
      <c r="BK293" s="40"/>
      <c r="BL293" s="40"/>
      <c r="BM293" s="40"/>
      <c r="BN293" s="40"/>
      <c r="BO293" s="40"/>
      <c r="BP293" s="40"/>
      <c r="BQ293" s="40"/>
      <c r="BR293" s="40"/>
      <c r="BS293" s="40"/>
      <c r="BT293" s="40"/>
      <c r="BU293" s="40"/>
      <c r="BV293" s="40"/>
      <c r="BW293" s="40"/>
      <c r="BX293" s="40"/>
      <c r="BY293" s="40"/>
      <c r="BZ293" s="40"/>
      <c r="CA293" s="40"/>
      <c r="CB293" s="40"/>
      <c r="CC293" s="40"/>
      <c r="CD293" s="40"/>
      <c r="CE293" s="40"/>
      <c r="CF293" s="40"/>
      <c r="CG293" s="40"/>
      <c r="CH293" s="40"/>
      <c r="CI293" s="40"/>
      <c r="CJ293" s="40"/>
      <c r="CK293" s="40"/>
      <c r="CL293" s="40"/>
      <c r="CM293" s="40"/>
      <c r="CN293" s="40"/>
      <c r="CO293" s="40"/>
      <c r="CP293" s="40"/>
      <c r="CQ293" s="40"/>
      <c r="CR293" s="40"/>
      <c r="CS293" s="40"/>
    </row>
    <row r="294" spans="1:97">
      <c r="A294" s="397"/>
      <c r="B294" s="397"/>
      <c r="C294" s="397"/>
      <c r="D294" s="397"/>
      <c r="E294" s="397"/>
      <c r="F294" s="397"/>
      <c r="G294" s="180"/>
      <c r="H294" s="46"/>
      <c r="I294" s="53"/>
      <c r="J294" s="53"/>
      <c r="K294" s="208"/>
      <c r="L294" s="208"/>
      <c r="M294" s="208"/>
      <c r="N294" s="208"/>
      <c r="O294" s="208"/>
      <c r="P294" s="208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  <c r="BI294" s="40"/>
      <c r="BJ294" s="40"/>
      <c r="BK294" s="40"/>
      <c r="BL294" s="40"/>
      <c r="BM294" s="40"/>
      <c r="BN294" s="40"/>
      <c r="BO294" s="40"/>
      <c r="BP294" s="40"/>
      <c r="BQ294" s="40"/>
      <c r="BR294" s="40"/>
      <c r="BS294" s="40"/>
      <c r="BT294" s="40"/>
      <c r="BU294" s="40"/>
      <c r="BV294" s="40"/>
      <c r="BW294" s="40"/>
      <c r="BX294" s="40"/>
      <c r="BY294" s="40"/>
      <c r="BZ294" s="40"/>
      <c r="CA294" s="40"/>
      <c r="CB294" s="40"/>
      <c r="CC294" s="40"/>
      <c r="CD294" s="40"/>
      <c r="CE294" s="40"/>
      <c r="CF294" s="40"/>
      <c r="CG294" s="40"/>
      <c r="CH294" s="40"/>
      <c r="CI294" s="40"/>
      <c r="CJ294" s="40"/>
      <c r="CK294" s="40"/>
      <c r="CL294" s="40"/>
      <c r="CM294" s="40"/>
      <c r="CN294" s="40"/>
      <c r="CO294" s="40"/>
      <c r="CP294" s="40"/>
      <c r="CQ294" s="40"/>
      <c r="CR294" s="40"/>
      <c r="CS294" s="40"/>
    </row>
    <row r="295" spans="1:97">
      <c r="A295" s="397"/>
      <c r="B295" s="397"/>
      <c r="C295" s="397"/>
      <c r="D295" s="397"/>
      <c r="E295" s="397"/>
      <c r="F295" s="397"/>
      <c r="G295" s="180"/>
      <c r="H295" s="46"/>
      <c r="I295" s="53"/>
      <c r="J295" s="53"/>
      <c r="K295" s="208"/>
      <c r="L295" s="208"/>
      <c r="M295" s="208"/>
      <c r="N295" s="208"/>
      <c r="O295" s="208"/>
      <c r="P295" s="208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  <c r="BM295" s="40"/>
      <c r="BN295" s="40"/>
      <c r="BO295" s="40"/>
      <c r="BP295" s="40"/>
      <c r="BQ295" s="40"/>
      <c r="BR295" s="40"/>
      <c r="BS295" s="40"/>
      <c r="BT295" s="40"/>
      <c r="BU295" s="40"/>
      <c r="BV295" s="40"/>
      <c r="BW295" s="40"/>
      <c r="BX295" s="40"/>
      <c r="BY295" s="40"/>
      <c r="BZ295" s="40"/>
      <c r="CA295" s="40"/>
      <c r="CB295" s="40"/>
      <c r="CC295" s="40"/>
      <c r="CD295" s="40"/>
      <c r="CE295" s="40"/>
      <c r="CF295" s="40"/>
      <c r="CG295" s="40"/>
      <c r="CH295" s="40"/>
      <c r="CI295" s="40"/>
      <c r="CJ295" s="40"/>
      <c r="CK295" s="40"/>
      <c r="CL295" s="40"/>
      <c r="CM295" s="40"/>
      <c r="CN295" s="40"/>
      <c r="CO295" s="40"/>
      <c r="CP295" s="40"/>
      <c r="CQ295" s="40"/>
      <c r="CR295" s="40"/>
      <c r="CS295" s="40"/>
    </row>
    <row r="296" spans="1:97">
      <c r="A296" s="397"/>
      <c r="B296" s="397"/>
      <c r="C296" s="397"/>
      <c r="D296" s="397"/>
      <c r="E296" s="397"/>
      <c r="F296" s="397"/>
      <c r="G296" s="180"/>
      <c r="H296" s="46"/>
      <c r="I296" s="53"/>
      <c r="J296" s="53"/>
      <c r="K296" s="208"/>
      <c r="L296" s="208"/>
      <c r="M296" s="208"/>
      <c r="N296" s="208"/>
      <c r="O296" s="208"/>
      <c r="P296" s="208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  <c r="BM296" s="40"/>
      <c r="BN296" s="40"/>
      <c r="BO296" s="40"/>
      <c r="BP296" s="40"/>
      <c r="BQ296" s="40"/>
      <c r="BR296" s="40"/>
      <c r="BS296" s="40"/>
      <c r="BT296" s="40"/>
      <c r="BU296" s="40"/>
      <c r="BV296" s="40"/>
      <c r="BW296" s="40"/>
      <c r="BX296" s="40"/>
      <c r="BY296" s="40"/>
      <c r="BZ296" s="40"/>
      <c r="CA296" s="40"/>
      <c r="CB296" s="40"/>
      <c r="CC296" s="40"/>
      <c r="CD296" s="40"/>
      <c r="CE296" s="40"/>
      <c r="CF296" s="40"/>
      <c r="CG296" s="40"/>
      <c r="CH296" s="40"/>
      <c r="CI296" s="40"/>
      <c r="CJ296" s="40"/>
      <c r="CK296" s="40"/>
      <c r="CL296" s="40"/>
      <c r="CM296" s="40"/>
      <c r="CN296" s="40"/>
      <c r="CO296" s="40"/>
      <c r="CP296" s="40"/>
      <c r="CQ296" s="40"/>
      <c r="CR296" s="40"/>
      <c r="CS296" s="40"/>
    </row>
    <row r="297" spans="1:97">
      <c r="A297" s="397"/>
      <c r="B297" s="397"/>
      <c r="C297" s="397"/>
      <c r="D297" s="397"/>
      <c r="E297" s="397"/>
      <c r="F297" s="397"/>
      <c r="G297" s="180"/>
      <c r="H297" s="46"/>
      <c r="I297" s="53"/>
      <c r="J297" s="53"/>
      <c r="K297" s="208"/>
      <c r="L297" s="208"/>
      <c r="M297" s="208"/>
      <c r="N297" s="208"/>
      <c r="O297" s="208"/>
      <c r="P297" s="208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  <c r="BH297" s="40"/>
      <c r="BI297" s="40"/>
      <c r="BJ297" s="40"/>
      <c r="BK297" s="40"/>
      <c r="BL297" s="40"/>
      <c r="BM297" s="40"/>
      <c r="BN297" s="40"/>
      <c r="BO297" s="40"/>
      <c r="BP297" s="40"/>
      <c r="BQ297" s="40"/>
      <c r="BR297" s="40"/>
      <c r="BS297" s="40"/>
      <c r="BT297" s="40"/>
      <c r="BU297" s="40"/>
      <c r="BV297" s="40"/>
      <c r="BW297" s="40"/>
      <c r="BX297" s="40"/>
      <c r="BY297" s="40"/>
      <c r="BZ297" s="40"/>
      <c r="CA297" s="40"/>
      <c r="CB297" s="40"/>
      <c r="CC297" s="40"/>
      <c r="CD297" s="40"/>
      <c r="CE297" s="40"/>
      <c r="CF297" s="40"/>
      <c r="CG297" s="40"/>
      <c r="CH297" s="40"/>
      <c r="CI297" s="40"/>
      <c r="CJ297" s="40"/>
      <c r="CK297" s="40"/>
      <c r="CL297" s="40"/>
      <c r="CM297" s="40"/>
      <c r="CN297" s="40"/>
      <c r="CO297" s="40"/>
      <c r="CP297" s="40"/>
      <c r="CQ297" s="40"/>
      <c r="CR297" s="40"/>
      <c r="CS297" s="40"/>
    </row>
    <row r="298" spans="1:97">
      <c r="A298" s="397"/>
      <c r="B298" s="397"/>
      <c r="C298" s="397"/>
      <c r="D298" s="397"/>
      <c r="E298" s="397"/>
      <c r="F298" s="397"/>
      <c r="G298" s="180"/>
      <c r="H298" s="46"/>
      <c r="I298" s="53"/>
      <c r="J298" s="53"/>
      <c r="K298" s="208"/>
      <c r="L298" s="208"/>
      <c r="M298" s="208"/>
      <c r="N298" s="208"/>
      <c r="O298" s="208"/>
      <c r="P298" s="208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  <c r="BI298" s="40"/>
      <c r="BJ298" s="40"/>
      <c r="BK298" s="40"/>
      <c r="BL298" s="40"/>
      <c r="BM298" s="40"/>
      <c r="BN298" s="40"/>
      <c r="BO298" s="40"/>
      <c r="BP298" s="40"/>
      <c r="BQ298" s="40"/>
      <c r="BR298" s="40"/>
      <c r="BS298" s="40"/>
      <c r="BT298" s="40"/>
      <c r="BU298" s="40"/>
      <c r="BV298" s="40"/>
      <c r="BW298" s="40"/>
      <c r="BX298" s="40"/>
      <c r="BY298" s="40"/>
      <c r="BZ298" s="40"/>
      <c r="CA298" s="40"/>
      <c r="CB298" s="40"/>
      <c r="CC298" s="40"/>
      <c r="CD298" s="40"/>
      <c r="CE298" s="40"/>
      <c r="CF298" s="40"/>
      <c r="CG298" s="40"/>
      <c r="CH298" s="40"/>
      <c r="CI298" s="40"/>
      <c r="CJ298" s="40"/>
      <c r="CK298" s="40"/>
      <c r="CL298" s="40"/>
      <c r="CM298" s="40"/>
      <c r="CN298" s="40"/>
      <c r="CO298" s="40"/>
      <c r="CP298" s="40"/>
      <c r="CQ298" s="40"/>
      <c r="CR298" s="40"/>
      <c r="CS298" s="40"/>
    </row>
    <row r="299" spans="1:97">
      <c r="A299" s="397"/>
      <c r="B299" s="397"/>
      <c r="C299" s="397"/>
      <c r="D299" s="397"/>
      <c r="E299" s="397"/>
      <c r="F299" s="397"/>
      <c r="G299" s="180"/>
      <c r="H299" s="46"/>
      <c r="I299" s="53"/>
      <c r="J299" s="53"/>
      <c r="K299" s="208"/>
      <c r="L299" s="208"/>
      <c r="M299" s="208"/>
      <c r="N299" s="208"/>
      <c r="O299" s="208"/>
      <c r="P299" s="208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  <c r="BB299" s="40"/>
      <c r="BC299" s="40"/>
      <c r="BD299" s="40"/>
      <c r="BE299" s="40"/>
      <c r="BF299" s="40"/>
      <c r="BG299" s="40"/>
      <c r="BH299" s="40"/>
      <c r="BI299" s="40"/>
      <c r="BJ299" s="40"/>
      <c r="BK299" s="40"/>
      <c r="BL299" s="40"/>
      <c r="BM299" s="40"/>
      <c r="BN299" s="40"/>
      <c r="BO299" s="40"/>
      <c r="BP299" s="40"/>
      <c r="BQ299" s="40"/>
      <c r="BR299" s="40"/>
      <c r="BS299" s="40"/>
      <c r="BT299" s="40"/>
      <c r="BU299" s="40"/>
      <c r="BV299" s="40"/>
      <c r="BW299" s="40"/>
      <c r="BX299" s="40"/>
      <c r="BY299" s="40"/>
      <c r="BZ299" s="40"/>
      <c r="CA299" s="40"/>
      <c r="CB299" s="40"/>
      <c r="CC299" s="40"/>
      <c r="CD299" s="40"/>
      <c r="CE299" s="40"/>
      <c r="CF299" s="40"/>
      <c r="CG299" s="40"/>
      <c r="CH299" s="40"/>
      <c r="CI299" s="40"/>
      <c r="CJ299" s="40"/>
      <c r="CK299" s="40"/>
      <c r="CL299" s="40"/>
      <c r="CM299" s="40"/>
      <c r="CN299" s="40"/>
      <c r="CO299" s="40"/>
      <c r="CP299" s="40"/>
      <c r="CQ299" s="40"/>
      <c r="CR299" s="40"/>
      <c r="CS299" s="40"/>
    </row>
    <row r="300" spans="1:97">
      <c r="A300" s="397"/>
      <c r="B300" s="397"/>
      <c r="C300" s="397"/>
      <c r="D300" s="397"/>
      <c r="E300" s="397"/>
      <c r="F300" s="397"/>
      <c r="G300" s="180"/>
      <c r="H300" s="46"/>
      <c r="I300" s="53"/>
      <c r="J300" s="53"/>
      <c r="K300" s="208"/>
      <c r="L300" s="208"/>
      <c r="M300" s="208"/>
      <c r="N300" s="208"/>
      <c r="O300" s="208"/>
      <c r="P300" s="208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  <c r="BI300" s="40"/>
      <c r="BJ300" s="40"/>
      <c r="BK300" s="40"/>
      <c r="BL300" s="40"/>
      <c r="BM300" s="40"/>
      <c r="BN300" s="40"/>
      <c r="BO300" s="40"/>
      <c r="BP300" s="40"/>
      <c r="BQ300" s="40"/>
      <c r="BR300" s="40"/>
      <c r="BS300" s="40"/>
      <c r="BT300" s="40"/>
      <c r="BU300" s="40"/>
      <c r="BV300" s="40"/>
      <c r="BW300" s="40"/>
      <c r="BX300" s="40"/>
      <c r="BY300" s="40"/>
      <c r="BZ300" s="40"/>
      <c r="CA300" s="40"/>
      <c r="CB300" s="40"/>
      <c r="CC300" s="40"/>
      <c r="CD300" s="40"/>
      <c r="CE300" s="40"/>
      <c r="CF300" s="40"/>
      <c r="CG300" s="40"/>
      <c r="CH300" s="40"/>
      <c r="CI300" s="40"/>
      <c r="CJ300" s="40"/>
      <c r="CK300" s="40"/>
      <c r="CL300" s="40"/>
      <c r="CM300" s="40"/>
      <c r="CN300" s="40"/>
      <c r="CO300" s="40"/>
      <c r="CP300" s="40"/>
      <c r="CQ300" s="40"/>
      <c r="CR300" s="40"/>
      <c r="CS300" s="40"/>
    </row>
    <row r="301" spans="1:97">
      <c r="A301" s="397"/>
      <c r="B301" s="397"/>
      <c r="C301" s="397"/>
      <c r="D301" s="397"/>
      <c r="E301" s="397"/>
      <c r="F301" s="397"/>
      <c r="G301" s="180"/>
      <c r="H301" s="46"/>
      <c r="I301" s="53"/>
      <c r="J301" s="53"/>
      <c r="K301" s="208"/>
      <c r="L301" s="208"/>
      <c r="M301" s="208"/>
      <c r="N301" s="208"/>
      <c r="O301" s="208"/>
      <c r="P301" s="208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  <c r="BI301" s="40"/>
      <c r="BJ301" s="40"/>
      <c r="BK301" s="40"/>
      <c r="BL301" s="40"/>
      <c r="BM301" s="40"/>
      <c r="BN301" s="40"/>
      <c r="BO301" s="40"/>
      <c r="BP301" s="40"/>
      <c r="BQ301" s="40"/>
      <c r="BR301" s="40"/>
      <c r="BS301" s="40"/>
      <c r="BT301" s="40"/>
      <c r="BU301" s="40"/>
      <c r="BV301" s="40"/>
      <c r="BW301" s="40"/>
      <c r="BX301" s="40"/>
      <c r="BY301" s="40"/>
      <c r="BZ301" s="40"/>
      <c r="CA301" s="40"/>
      <c r="CB301" s="40"/>
      <c r="CC301" s="40"/>
      <c r="CD301" s="40"/>
      <c r="CE301" s="40"/>
      <c r="CF301" s="40"/>
      <c r="CG301" s="40"/>
      <c r="CH301" s="40"/>
      <c r="CI301" s="40"/>
      <c r="CJ301" s="40"/>
      <c r="CK301" s="40"/>
      <c r="CL301" s="40"/>
      <c r="CM301" s="40"/>
      <c r="CN301" s="40"/>
      <c r="CO301" s="40"/>
      <c r="CP301" s="40"/>
      <c r="CQ301" s="40"/>
      <c r="CR301" s="40"/>
      <c r="CS301" s="40"/>
    </row>
    <row r="302" spans="1:97">
      <c r="A302" s="397"/>
      <c r="B302" s="397"/>
      <c r="C302" s="397"/>
      <c r="D302" s="397"/>
      <c r="E302" s="397"/>
      <c r="F302" s="397"/>
      <c r="G302" s="180"/>
      <c r="H302" s="46"/>
      <c r="I302" s="53"/>
      <c r="J302" s="53"/>
      <c r="K302" s="208"/>
      <c r="L302" s="208"/>
      <c r="M302" s="208"/>
      <c r="N302" s="208"/>
      <c r="O302" s="208"/>
      <c r="P302" s="208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  <c r="BH302" s="40"/>
      <c r="BI302" s="40"/>
      <c r="BJ302" s="40"/>
      <c r="BK302" s="40"/>
      <c r="BL302" s="40"/>
      <c r="BM302" s="40"/>
      <c r="BN302" s="40"/>
      <c r="BO302" s="40"/>
      <c r="BP302" s="40"/>
      <c r="BQ302" s="40"/>
      <c r="BR302" s="40"/>
      <c r="BS302" s="40"/>
      <c r="BT302" s="40"/>
      <c r="BU302" s="40"/>
      <c r="BV302" s="40"/>
      <c r="BW302" s="40"/>
      <c r="BX302" s="40"/>
      <c r="BY302" s="40"/>
      <c r="BZ302" s="40"/>
      <c r="CA302" s="40"/>
      <c r="CB302" s="40"/>
      <c r="CC302" s="40"/>
      <c r="CD302" s="40"/>
      <c r="CE302" s="40"/>
      <c r="CF302" s="40"/>
      <c r="CG302" s="40"/>
      <c r="CH302" s="40"/>
      <c r="CI302" s="40"/>
      <c r="CJ302" s="40"/>
      <c r="CK302" s="40"/>
      <c r="CL302" s="40"/>
      <c r="CM302" s="40"/>
      <c r="CN302" s="40"/>
      <c r="CO302" s="40"/>
      <c r="CP302" s="40"/>
      <c r="CQ302" s="40"/>
      <c r="CR302" s="40"/>
      <c r="CS302" s="40"/>
    </row>
    <row r="303" spans="1:97">
      <c r="A303" s="397"/>
      <c r="B303" s="397"/>
      <c r="C303" s="397"/>
      <c r="D303" s="397"/>
      <c r="E303" s="397"/>
      <c r="F303" s="397"/>
      <c r="G303" s="180"/>
      <c r="H303" s="46"/>
      <c r="I303" s="53"/>
      <c r="J303" s="53"/>
      <c r="K303" s="208"/>
      <c r="L303" s="208"/>
      <c r="M303" s="208"/>
      <c r="N303" s="208"/>
      <c r="O303" s="208"/>
      <c r="P303" s="208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  <c r="BB303" s="40"/>
      <c r="BC303" s="40"/>
      <c r="BD303" s="40"/>
      <c r="BE303" s="40"/>
      <c r="BF303" s="40"/>
      <c r="BG303" s="40"/>
      <c r="BH303" s="40"/>
      <c r="BI303" s="40"/>
      <c r="BJ303" s="40"/>
      <c r="BK303" s="40"/>
      <c r="BL303" s="40"/>
      <c r="BM303" s="40"/>
      <c r="BN303" s="40"/>
      <c r="BO303" s="40"/>
      <c r="BP303" s="40"/>
      <c r="BQ303" s="40"/>
      <c r="BR303" s="40"/>
      <c r="BS303" s="40"/>
      <c r="BT303" s="40"/>
      <c r="BU303" s="40"/>
      <c r="BV303" s="40"/>
      <c r="BW303" s="40"/>
      <c r="BX303" s="40"/>
      <c r="BY303" s="40"/>
      <c r="BZ303" s="40"/>
      <c r="CA303" s="40"/>
      <c r="CB303" s="40"/>
      <c r="CC303" s="40"/>
      <c r="CD303" s="40"/>
      <c r="CE303" s="40"/>
      <c r="CF303" s="40"/>
      <c r="CG303" s="40"/>
      <c r="CH303" s="40"/>
      <c r="CI303" s="40"/>
      <c r="CJ303" s="40"/>
      <c r="CK303" s="40"/>
      <c r="CL303" s="40"/>
      <c r="CM303" s="40"/>
      <c r="CN303" s="40"/>
      <c r="CO303" s="40"/>
      <c r="CP303" s="40"/>
      <c r="CQ303" s="40"/>
      <c r="CR303" s="40"/>
      <c r="CS303" s="40"/>
    </row>
    <row r="304" spans="1:97">
      <c r="A304" s="397"/>
      <c r="B304" s="397"/>
      <c r="C304" s="397"/>
      <c r="D304" s="397"/>
      <c r="E304" s="397"/>
      <c r="F304" s="397"/>
      <c r="G304" s="180"/>
      <c r="H304" s="46"/>
      <c r="I304" s="53"/>
      <c r="J304" s="53"/>
      <c r="K304" s="208"/>
      <c r="L304" s="208"/>
      <c r="M304" s="208"/>
      <c r="N304" s="208"/>
      <c r="O304" s="208"/>
      <c r="P304" s="208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  <c r="BB304" s="40"/>
      <c r="BC304" s="40"/>
      <c r="BD304" s="40"/>
      <c r="BE304" s="40"/>
      <c r="BF304" s="40"/>
      <c r="BG304" s="40"/>
      <c r="BH304" s="40"/>
      <c r="BI304" s="40"/>
      <c r="BJ304" s="40"/>
      <c r="BK304" s="40"/>
      <c r="BL304" s="40"/>
      <c r="BM304" s="40"/>
      <c r="BN304" s="40"/>
      <c r="BO304" s="40"/>
      <c r="BP304" s="40"/>
      <c r="BQ304" s="40"/>
      <c r="BR304" s="40"/>
      <c r="BS304" s="40"/>
      <c r="BT304" s="40"/>
      <c r="BU304" s="40"/>
      <c r="BV304" s="40"/>
      <c r="BW304" s="40"/>
      <c r="BX304" s="40"/>
      <c r="BY304" s="40"/>
      <c r="BZ304" s="40"/>
      <c r="CA304" s="40"/>
      <c r="CB304" s="40"/>
      <c r="CC304" s="40"/>
      <c r="CD304" s="40"/>
      <c r="CE304" s="40"/>
      <c r="CF304" s="40"/>
      <c r="CG304" s="40"/>
      <c r="CH304" s="40"/>
      <c r="CI304" s="40"/>
      <c r="CJ304" s="40"/>
      <c r="CK304" s="40"/>
      <c r="CL304" s="40"/>
      <c r="CM304" s="40"/>
      <c r="CN304" s="40"/>
      <c r="CO304" s="40"/>
      <c r="CP304" s="40"/>
      <c r="CQ304" s="40"/>
      <c r="CR304" s="40"/>
      <c r="CS304" s="40"/>
    </row>
    <row r="305" spans="1:97">
      <c r="A305" s="397"/>
      <c r="B305" s="397"/>
      <c r="C305" s="397"/>
      <c r="D305" s="397"/>
      <c r="E305" s="397"/>
      <c r="F305" s="397"/>
      <c r="G305" s="180"/>
      <c r="H305" s="46"/>
      <c r="I305" s="53"/>
      <c r="J305" s="53"/>
      <c r="K305" s="208"/>
      <c r="L305" s="208"/>
      <c r="M305" s="208"/>
      <c r="N305" s="208"/>
      <c r="O305" s="208"/>
      <c r="P305" s="208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AZ305" s="40"/>
      <c r="BA305" s="40"/>
      <c r="BB305" s="40"/>
      <c r="BC305" s="40"/>
      <c r="BD305" s="40"/>
      <c r="BE305" s="40"/>
      <c r="BF305" s="40"/>
      <c r="BG305" s="40"/>
      <c r="BH305" s="40"/>
      <c r="BI305" s="40"/>
      <c r="BJ305" s="40"/>
      <c r="BK305" s="40"/>
      <c r="BL305" s="40"/>
      <c r="BM305" s="40"/>
      <c r="BN305" s="40"/>
      <c r="BO305" s="40"/>
      <c r="BP305" s="40"/>
      <c r="BQ305" s="40"/>
      <c r="BR305" s="40"/>
      <c r="BS305" s="40"/>
      <c r="BT305" s="40"/>
      <c r="BU305" s="40"/>
      <c r="BV305" s="40"/>
      <c r="BW305" s="40"/>
      <c r="BX305" s="40"/>
      <c r="BY305" s="40"/>
      <c r="BZ305" s="40"/>
      <c r="CA305" s="40"/>
      <c r="CB305" s="40"/>
      <c r="CC305" s="40"/>
      <c r="CD305" s="40"/>
      <c r="CE305" s="40"/>
      <c r="CF305" s="40"/>
      <c r="CG305" s="40"/>
      <c r="CH305" s="40"/>
      <c r="CI305" s="40"/>
      <c r="CJ305" s="40"/>
      <c r="CK305" s="40"/>
      <c r="CL305" s="40"/>
      <c r="CM305" s="40"/>
      <c r="CN305" s="40"/>
      <c r="CO305" s="40"/>
      <c r="CP305" s="40"/>
      <c r="CQ305" s="40"/>
      <c r="CR305" s="40"/>
      <c r="CS305" s="40"/>
    </row>
    <row r="306" spans="1:97">
      <c r="A306" s="397"/>
      <c r="B306" s="397"/>
      <c r="C306" s="397"/>
      <c r="D306" s="397"/>
      <c r="E306" s="397"/>
      <c r="F306" s="397"/>
      <c r="G306" s="180"/>
      <c r="H306" s="46"/>
      <c r="I306" s="53"/>
      <c r="J306" s="53"/>
      <c r="K306" s="208"/>
      <c r="L306" s="208"/>
      <c r="M306" s="208"/>
      <c r="N306" s="208"/>
      <c r="O306" s="208"/>
      <c r="P306" s="208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  <c r="BH306" s="40"/>
      <c r="BI306" s="40"/>
      <c r="BJ306" s="40"/>
      <c r="BK306" s="40"/>
      <c r="BL306" s="40"/>
      <c r="BM306" s="40"/>
      <c r="BN306" s="40"/>
      <c r="BO306" s="40"/>
      <c r="BP306" s="40"/>
      <c r="BQ306" s="40"/>
      <c r="BR306" s="40"/>
      <c r="BS306" s="40"/>
      <c r="BT306" s="40"/>
      <c r="BU306" s="40"/>
      <c r="BV306" s="40"/>
      <c r="BW306" s="40"/>
      <c r="BX306" s="40"/>
      <c r="BY306" s="40"/>
      <c r="BZ306" s="40"/>
      <c r="CA306" s="40"/>
      <c r="CB306" s="40"/>
      <c r="CC306" s="40"/>
      <c r="CD306" s="40"/>
      <c r="CE306" s="40"/>
      <c r="CF306" s="40"/>
      <c r="CG306" s="40"/>
      <c r="CH306" s="40"/>
      <c r="CI306" s="40"/>
      <c r="CJ306" s="40"/>
      <c r="CK306" s="40"/>
      <c r="CL306" s="40"/>
      <c r="CM306" s="40"/>
      <c r="CN306" s="40"/>
      <c r="CO306" s="40"/>
      <c r="CP306" s="40"/>
      <c r="CQ306" s="40"/>
      <c r="CR306" s="40"/>
      <c r="CS306" s="40"/>
    </row>
    <row r="307" spans="1:97">
      <c r="A307" s="397"/>
      <c r="B307" s="397"/>
      <c r="C307" s="397"/>
      <c r="D307" s="397"/>
      <c r="E307" s="397"/>
      <c r="F307" s="397"/>
      <c r="G307" s="180"/>
      <c r="H307" s="46"/>
      <c r="I307" s="53"/>
      <c r="J307" s="53"/>
      <c r="K307" s="192"/>
      <c r="L307" s="192"/>
      <c r="M307" s="192"/>
      <c r="N307" s="192"/>
      <c r="O307" s="192"/>
      <c r="P307" s="192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AZ307" s="40"/>
      <c r="BA307" s="40"/>
      <c r="BB307" s="40"/>
      <c r="BC307" s="40"/>
      <c r="BD307" s="40"/>
      <c r="BE307" s="40"/>
      <c r="BF307" s="40"/>
      <c r="BG307" s="40"/>
      <c r="BH307" s="40"/>
      <c r="BI307" s="40"/>
      <c r="BJ307" s="40"/>
      <c r="BK307" s="40"/>
      <c r="BL307" s="40"/>
      <c r="BM307" s="40"/>
      <c r="BN307" s="40"/>
      <c r="BO307" s="40"/>
      <c r="BP307" s="40"/>
      <c r="BQ307" s="40"/>
      <c r="BR307" s="40"/>
      <c r="BS307" s="40"/>
      <c r="BT307" s="40"/>
      <c r="BU307" s="40"/>
      <c r="BV307" s="40"/>
      <c r="BW307" s="40"/>
      <c r="BX307" s="40"/>
      <c r="BY307" s="40"/>
      <c r="BZ307" s="40"/>
      <c r="CA307" s="40"/>
      <c r="CB307" s="40"/>
      <c r="CC307" s="40"/>
      <c r="CD307" s="40"/>
      <c r="CE307" s="40"/>
      <c r="CF307" s="40"/>
      <c r="CG307" s="40"/>
      <c r="CH307" s="40"/>
      <c r="CI307" s="40"/>
      <c r="CJ307" s="40"/>
      <c r="CK307" s="40"/>
      <c r="CL307" s="40"/>
      <c r="CM307" s="40"/>
      <c r="CN307" s="40"/>
      <c r="CO307" s="40"/>
      <c r="CP307" s="40"/>
      <c r="CQ307" s="40"/>
      <c r="CR307" s="40"/>
      <c r="CS307" s="40"/>
    </row>
    <row r="308" spans="1:97">
      <c r="A308" s="397"/>
      <c r="B308" s="397"/>
      <c r="C308" s="397"/>
      <c r="D308" s="397"/>
      <c r="E308" s="397"/>
      <c r="F308" s="397"/>
      <c r="G308" s="180"/>
      <c r="H308" s="46"/>
      <c r="I308" s="53"/>
      <c r="J308" s="53"/>
      <c r="K308" s="192"/>
      <c r="L308" s="192"/>
      <c r="M308" s="192"/>
      <c r="N308" s="192"/>
      <c r="O308" s="192"/>
      <c r="P308" s="192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  <c r="BB308" s="40"/>
      <c r="BC308" s="40"/>
      <c r="BD308" s="40"/>
      <c r="BE308" s="40"/>
      <c r="BF308" s="40"/>
      <c r="BG308" s="40"/>
      <c r="BH308" s="40"/>
      <c r="BI308" s="40"/>
      <c r="BJ308" s="40"/>
      <c r="BK308" s="40"/>
      <c r="BL308" s="40"/>
      <c r="BM308" s="40"/>
      <c r="BN308" s="40"/>
      <c r="BO308" s="40"/>
      <c r="BP308" s="40"/>
      <c r="BQ308" s="40"/>
      <c r="BR308" s="40"/>
      <c r="BS308" s="40"/>
      <c r="BT308" s="40"/>
      <c r="BU308" s="40"/>
      <c r="BV308" s="40"/>
      <c r="BW308" s="40"/>
      <c r="BX308" s="40"/>
      <c r="BY308" s="40"/>
      <c r="BZ308" s="40"/>
      <c r="CA308" s="40"/>
      <c r="CB308" s="40"/>
      <c r="CC308" s="40"/>
      <c r="CD308" s="40"/>
      <c r="CE308" s="40"/>
      <c r="CF308" s="40"/>
      <c r="CG308" s="40"/>
      <c r="CH308" s="40"/>
      <c r="CI308" s="40"/>
      <c r="CJ308" s="40"/>
      <c r="CK308" s="40"/>
      <c r="CL308" s="40"/>
      <c r="CM308" s="40"/>
      <c r="CN308" s="40"/>
      <c r="CO308" s="40"/>
      <c r="CP308" s="40"/>
      <c r="CQ308" s="40"/>
      <c r="CR308" s="40"/>
      <c r="CS308" s="40"/>
    </row>
    <row r="309" spans="1:97">
      <c r="A309" s="397"/>
      <c r="B309" s="397"/>
      <c r="C309" s="397"/>
      <c r="D309" s="397"/>
      <c r="E309" s="397"/>
      <c r="F309" s="397"/>
      <c r="G309" s="180"/>
      <c r="H309" s="46"/>
      <c r="I309" s="53"/>
      <c r="J309" s="53"/>
      <c r="K309" s="192"/>
      <c r="L309" s="192"/>
      <c r="M309" s="192"/>
      <c r="N309" s="192"/>
      <c r="O309" s="192"/>
      <c r="P309" s="192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AZ309" s="40"/>
      <c r="BA309" s="40"/>
      <c r="BB309" s="40"/>
      <c r="BC309" s="40"/>
      <c r="BD309" s="40"/>
      <c r="BE309" s="40"/>
      <c r="BF309" s="40"/>
      <c r="BG309" s="40"/>
      <c r="BH309" s="40"/>
      <c r="BI309" s="40"/>
      <c r="BJ309" s="40"/>
      <c r="BK309" s="40"/>
      <c r="BL309" s="40"/>
      <c r="BM309" s="40"/>
      <c r="BN309" s="40"/>
      <c r="BO309" s="40"/>
      <c r="BP309" s="40"/>
      <c r="BQ309" s="40"/>
      <c r="BR309" s="40"/>
      <c r="BS309" s="40"/>
      <c r="BT309" s="40"/>
      <c r="BU309" s="40"/>
      <c r="BV309" s="40"/>
      <c r="BW309" s="40"/>
      <c r="BX309" s="40"/>
      <c r="BY309" s="40"/>
      <c r="BZ309" s="40"/>
      <c r="CA309" s="40"/>
      <c r="CB309" s="40"/>
      <c r="CC309" s="40"/>
      <c r="CD309" s="40"/>
      <c r="CE309" s="40"/>
      <c r="CF309" s="40"/>
      <c r="CG309" s="40"/>
      <c r="CH309" s="40"/>
      <c r="CI309" s="40"/>
      <c r="CJ309" s="40"/>
      <c r="CK309" s="40"/>
      <c r="CL309" s="40"/>
      <c r="CM309" s="40"/>
      <c r="CN309" s="40"/>
      <c r="CO309" s="40"/>
      <c r="CP309" s="40"/>
      <c r="CQ309" s="40"/>
      <c r="CR309" s="40"/>
      <c r="CS309" s="40"/>
    </row>
    <row r="310" spans="1:97">
      <c r="A310" s="397"/>
      <c r="B310" s="397"/>
      <c r="C310" s="397"/>
      <c r="D310" s="397"/>
      <c r="E310" s="397"/>
      <c r="F310" s="397"/>
      <c r="G310" s="180"/>
      <c r="H310" s="46"/>
      <c r="I310" s="53"/>
      <c r="J310" s="53"/>
      <c r="K310" s="192"/>
      <c r="L310" s="192"/>
      <c r="M310" s="192"/>
      <c r="N310" s="192"/>
      <c r="O310" s="192"/>
      <c r="P310" s="192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  <c r="BH310" s="40"/>
      <c r="BI310" s="40"/>
      <c r="BJ310" s="40"/>
      <c r="BK310" s="40"/>
      <c r="BL310" s="40"/>
      <c r="BM310" s="40"/>
      <c r="BN310" s="40"/>
      <c r="BO310" s="40"/>
      <c r="BP310" s="40"/>
      <c r="BQ310" s="40"/>
      <c r="BR310" s="40"/>
      <c r="BS310" s="40"/>
      <c r="BT310" s="40"/>
      <c r="BU310" s="40"/>
      <c r="BV310" s="40"/>
      <c r="BW310" s="40"/>
      <c r="BX310" s="40"/>
      <c r="BY310" s="40"/>
      <c r="BZ310" s="40"/>
      <c r="CA310" s="40"/>
      <c r="CB310" s="40"/>
      <c r="CC310" s="40"/>
      <c r="CD310" s="40"/>
      <c r="CE310" s="40"/>
      <c r="CF310" s="40"/>
      <c r="CG310" s="40"/>
      <c r="CH310" s="40"/>
      <c r="CI310" s="40"/>
      <c r="CJ310" s="40"/>
      <c r="CK310" s="40"/>
      <c r="CL310" s="40"/>
      <c r="CM310" s="40"/>
      <c r="CN310" s="40"/>
      <c r="CO310" s="40"/>
      <c r="CP310" s="40"/>
      <c r="CQ310" s="40"/>
      <c r="CR310" s="40"/>
      <c r="CS310" s="40"/>
    </row>
    <row r="311" spans="1:97">
      <c r="A311" s="397"/>
      <c r="B311" s="397"/>
      <c r="C311" s="397"/>
      <c r="D311" s="397"/>
      <c r="E311" s="397"/>
      <c r="F311" s="397"/>
      <c r="G311" s="180"/>
      <c r="H311" s="46"/>
      <c r="I311" s="53"/>
      <c r="J311" s="53"/>
      <c r="K311" s="192"/>
      <c r="L311" s="192"/>
      <c r="M311" s="192"/>
      <c r="N311" s="192"/>
      <c r="O311" s="192"/>
      <c r="P311" s="192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40"/>
      <c r="BB311" s="40"/>
      <c r="BC311" s="40"/>
      <c r="BD311" s="40"/>
      <c r="BE311" s="40"/>
      <c r="BF311" s="40"/>
      <c r="BG311" s="40"/>
      <c r="BH311" s="40"/>
      <c r="BI311" s="40"/>
      <c r="BJ311" s="40"/>
      <c r="BK311" s="40"/>
      <c r="BL311" s="40"/>
      <c r="BM311" s="40"/>
      <c r="BN311" s="40"/>
      <c r="BO311" s="40"/>
      <c r="BP311" s="40"/>
      <c r="BQ311" s="40"/>
      <c r="BR311" s="40"/>
      <c r="BS311" s="40"/>
      <c r="BT311" s="40"/>
      <c r="BU311" s="40"/>
      <c r="BV311" s="40"/>
      <c r="BW311" s="40"/>
      <c r="BX311" s="40"/>
      <c r="BY311" s="40"/>
      <c r="BZ311" s="40"/>
      <c r="CA311" s="40"/>
      <c r="CB311" s="40"/>
      <c r="CC311" s="40"/>
      <c r="CD311" s="40"/>
      <c r="CE311" s="40"/>
      <c r="CF311" s="40"/>
      <c r="CG311" s="40"/>
      <c r="CH311" s="40"/>
      <c r="CI311" s="40"/>
      <c r="CJ311" s="40"/>
      <c r="CK311" s="40"/>
      <c r="CL311" s="40"/>
      <c r="CM311" s="40"/>
      <c r="CN311" s="40"/>
      <c r="CO311" s="40"/>
      <c r="CP311" s="40"/>
      <c r="CQ311" s="40"/>
      <c r="CR311" s="40"/>
      <c r="CS311" s="40"/>
    </row>
    <row r="312" spans="1:97">
      <c r="A312" s="397"/>
      <c r="B312" s="397"/>
      <c r="C312" s="397"/>
      <c r="D312" s="397"/>
      <c r="E312" s="397"/>
      <c r="F312" s="397"/>
      <c r="G312" s="180"/>
      <c r="H312" s="46"/>
      <c r="I312" s="53"/>
      <c r="J312" s="53"/>
      <c r="K312" s="192"/>
      <c r="L312" s="192"/>
      <c r="M312" s="192"/>
      <c r="N312" s="192"/>
      <c r="O312" s="192"/>
      <c r="P312" s="192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  <c r="BH312" s="40"/>
      <c r="BI312" s="40"/>
      <c r="BJ312" s="40"/>
      <c r="BK312" s="40"/>
      <c r="BL312" s="40"/>
      <c r="BM312" s="40"/>
      <c r="BN312" s="40"/>
      <c r="BO312" s="40"/>
      <c r="BP312" s="40"/>
      <c r="BQ312" s="40"/>
      <c r="BR312" s="40"/>
      <c r="BS312" s="40"/>
      <c r="BT312" s="40"/>
      <c r="BU312" s="40"/>
      <c r="BV312" s="40"/>
      <c r="BW312" s="40"/>
      <c r="BX312" s="40"/>
      <c r="BY312" s="40"/>
      <c r="BZ312" s="40"/>
      <c r="CA312" s="40"/>
      <c r="CB312" s="40"/>
      <c r="CC312" s="40"/>
      <c r="CD312" s="40"/>
      <c r="CE312" s="40"/>
      <c r="CF312" s="40"/>
      <c r="CG312" s="40"/>
      <c r="CH312" s="40"/>
      <c r="CI312" s="40"/>
      <c r="CJ312" s="40"/>
      <c r="CK312" s="40"/>
      <c r="CL312" s="40"/>
      <c r="CM312" s="40"/>
      <c r="CN312" s="40"/>
      <c r="CO312" s="40"/>
      <c r="CP312" s="40"/>
      <c r="CQ312" s="40"/>
      <c r="CR312" s="40"/>
      <c r="CS312" s="40"/>
    </row>
    <row r="313" spans="1:97">
      <c r="A313" s="397"/>
      <c r="B313" s="397"/>
      <c r="C313" s="397"/>
      <c r="D313" s="397"/>
      <c r="E313" s="397"/>
      <c r="F313" s="397"/>
      <c r="G313" s="180"/>
      <c r="H313" s="46"/>
      <c r="I313" s="53"/>
      <c r="J313" s="53"/>
      <c r="K313" s="192"/>
      <c r="L313" s="192"/>
      <c r="M313" s="192"/>
      <c r="N313" s="192"/>
      <c r="O313" s="192"/>
      <c r="P313" s="192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  <c r="BM313" s="40"/>
      <c r="BN313" s="40"/>
      <c r="BO313" s="40"/>
      <c r="BP313" s="40"/>
      <c r="BQ313" s="40"/>
      <c r="BR313" s="40"/>
      <c r="BS313" s="40"/>
      <c r="BT313" s="40"/>
      <c r="BU313" s="40"/>
      <c r="BV313" s="40"/>
      <c r="BW313" s="40"/>
      <c r="BX313" s="40"/>
      <c r="BY313" s="40"/>
      <c r="BZ313" s="40"/>
      <c r="CA313" s="40"/>
      <c r="CB313" s="40"/>
      <c r="CC313" s="40"/>
      <c r="CD313" s="40"/>
      <c r="CE313" s="40"/>
      <c r="CF313" s="40"/>
      <c r="CG313" s="40"/>
      <c r="CH313" s="40"/>
      <c r="CI313" s="40"/>
      <c r="CJ313" s="40"/>
      <c r="CK313" s="40"/>
      <c r="CL313" s="40"/>
      <c r="CM313" s="40"/>
      <c r="CN313" s="40"/>
      <c r="CO313" s="40"/>
      <c r="CP313" s="40"/>
      <c r="CQ313" s="40"/>
      <c r="CR313" s="40"/>
      <c r="CS313" s="40"/>
    </row>
    <row r="314" spans="1:97">
      <c r="A314" s="397"/>
      <c r="B314" s="397"/>
      <c r="C314" s="397"/>
      <c r="D314" s="397"/>
      <c r="E314" s="397"/>
      <c r="F314" s="397"/>
      <c r="G314" s="180"/>
      <c r="H314" s="46"/>
      <c r="I314" s="53"/>
      <c r="J314" s="53"/>
      <c r="K314" s="192"/>
      <c r="L314" s="192"/>
      <c r="M314" s="192"/>
      <c r="N314" s="192"/>
      <c r="O314" s="192"/>
      <c r="P314" s="192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  <c r="BI314" s="40"/>
      <c r="BJ314" s="40"/>
      <c r="BK314" s="40"/>
      <c r="BL314" s="40"/>
      <c r="BM314" s="40"/>
      <c r="BN314" s="40"/>
      <c r="BO314" s="40"/>
      <c r="BP314" s="40"/>
      <c r="BQ314" s="40"/>
      <c r="BR314" s="40"/>
      <c r="BS314" s="40"/>
      <c r="BT314" s="40"/>
      <c r="BU314" s="40"/>
      <c r="BV314" s="40"/>
      <c r="BW314" s="40"/>
      <c r="BX314" s="40"/>
      <c r="BY314" s="40"/>
      <c r="BZ314" s="40"/>
      <c r="CA314" s="40"/>
      <c r="CB314" s="40"/>
      <c r="CC314" s="40"/>
      <c r="CD314" s="40"/>
      <c r="CE314" s="40"/>
      <c r="CF314" s="40"/>
      <c r="CG314" s="40"/>
      <c r="CH314" s="40"/>
      <c r="CI314" s="40"/>
      <c r="CJ314" s="40"/>
      <c r="CK314" s="40"/>
      <c r="CL314" s="40"/>
      <c r="CM314" s="40"/>
      <c r="CN314" s="40"/>
      <c r="CO314" s="40"/>
      <c r="CP314" s="40"/>
      <c r="CQ314" s="40"/>
      <c r="CR314" s="40"/>
      <c r="CS314" s="40"/>
    </row>
    <row r="315" spans="1:97">
      <c r="A315" s="397"/>
      <c r="B315" s="397"/>
      <c r="C315" s="397"/>
      <c r="D315" s="397"/>
      <c r="E315" s="397"/>
      <c r="F315" s="397"/>
      <c r="G315" s="180"/>
      <c r="H315" s="46"/>
      <c r="I315" s="53"/>
      <c r="J315" s="53"/>
      <c r="K315" s="192"/>
      <c r="L315" s="192"/>
      <c r="M315" s="192"/>
      <c r="N315" s="192"/>
      <c r="O315" s="192"/>
      <c r="P315" s="192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0"/>
      <c r="AZ315" s="40"/>
      <c r="BA315" s="40"/>
      <c r="BB315" s="40"/>
      <c r="BC315" s="40"/>
      <c r="BD315" s="40"/>
      <c r="BE315" s="40"/>
      <c r="BF315" s="40"/>
      <c r="BG315" s="40"/>
      <c r="BH315" s="40"/>
      <c r="BI315" s="40"/>
      <c r="BJ315" s="40"/>
      <c r="BK315" s="40"/>
      <c r="BL315" s="40"/>
      <c r="BM315" s="40"/>
      <c r="BN315" s="40"/>
      <c r="BO315" s="40"/>
      <c r="BP315" s="40"/>
      <c r="BQ315" s="40"/>
      <c r="BR315" s="40"/>
      <c r="BS315" s="40"/>
      <c r="BT315" s="40"/>
      <c r="BU315" s="40"/>
      <c r="BV315" s="40"/>
      <c r="BW315" s="40"/>
      <c r="BX315" s="40"/>
      <c r="BY315" s="40"/>
      <c r="BZ315" s="40"/>
      <c r="CA315" s="40"/>
      <c r="CB315" s="40"/>
      <c r="CC315" s="40"/>
      <c r="CD315" s="40"/>
      <c r="CE315" s="40"/>
      <c r="CF315" s="40"/>
      <c r="CG315" s="40"/>
      <c r="CH315" s="40"/>
      <c r="CI315" s="40"/>
      <c r="CJ315" s="40"/>
      <c r="CK315" s="40"/>
      <c r="CL315" s="40"/>
      <c r="CM315" s="40"/>
      <c r="CN315" s="40"/>
      <c r="CO315" s="40"/>
      <c r="CP315" s="40"/>
      <c r="CQ315" s="40"/>
      <c r="CR315" s="40"/>
      <c r="CS315" s="40"/>
    </row>
    <row r="316" spans="1:97">
      <c r="A316" s="397"/>
      <c r="B316" s="397"/>
      <c r="C316" s="397"/>
      <c r="D316" s="397"/>
      <c r="E316" s="397"/>
      <c r="F316" s="397"/>
      <c r="G316" s="180"/>
      <c r="H316" s="46"/>
      <c r="I316" s="53"/>
      <c r="J316" s="53"/>
      <c r="K316" s="192"/>
      <c r="L316" s="192"/>
      <c r="M316" s="192"/>
      <c r="N316" s="192"/>
      <c r="O316" s="192"/>
      <c r="P316" s="192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  <c r="BH316" s="40"/>
      <c r="BI316" s="40"/>
      <c r="BJ316" s="40"/>
      <c r="BK316" s="40"/>
      <c r="BL316" s="40"/>
      <c r="BM316" s="40"/>
      <c r="BN316" s="40"/>
      <c r="BO316" s="40"/>
      <c r="BP316" s="40"/>
      <c r="BQ316" s="40"/>
      <c r="BR316" s="40"/>
      <c r="BS316" s="40"/>
      <c r="BT316" s="40"/>
      <c r="BU316" s="40"/>
      <c r="BV316" s="40"/>
      <c r="BW316" s="40"/>
      <c r="BX316" s="40"/>
      <c r="BY316" s="40"/>
      <c r="BZ316" s="40"/>
      <c r="CA316" s="40"/>
      <c r="CB316" s="40"/>
      <c r="CC316" s="40"/>
      <c r="CD316" s="40"/>
      <c r="CE316" s="40"/>
      <c r="CF316" s="40"/>
      <c r="CG316" s="40"/>
      <c r="CH316" s="40"/>
      <c r="CI316" s="40"/>
      <c r="CJ316" s="40"/>
      <c r="CK316" s="40"/>
      <c r="CL316" s="40"/>
      <c r="CM316" s="40"/>
      <c r="CN316" s="40"/>
      <c r="CO316" s="40"/>
      <c r="CP316" s="40"/>
      <c r="CQ316" s="40"/>
      <c r="CR316" s="40"/>
      <c r="CS316" s="40"/>
    </row>
    <row r="317" spans="1:97">
      <c r="A317" s="397"/>
      <c r="B317" s="397"/>
      <c r="C317" s="397"/>
      <c r="D317" s="397"/>
      <c r="E317" s="397"/>
      <c r="F317" s="397"/>
      <c r="G317" s="180"/>
      <c r="H317" s="46"/>
      <c r="I317" s="53"/>
      <c r="J317" s="53"/>
      <c r="K317" s="192"/>
      <c r="L317" s="192"/>
      <c r="M317" s="192"/>
      <c r="N317" s="192"/>
      <c r="O317" s="192"/>
      <c r="P317" s="192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AZ317" s="40"/>
      <c r="BA317" s="40"/>
      <c r="BB317" s="40"/>
      <c r="BC317" s="40"/>
      <c r="BD317" s="40"/>
      <c r="BE317" s="40"/>
      <c r="BF317" s="40"/>
      <c r="BG317" s="40"/>
      <c r="BH317" s="40"/>
      <c r="BI317" s="40"/>
      <c r="BJ317" s="40"/>
      <c r="BK317" s="40"/>
      <c r="BL317" s="40"/>
      <c r="BM317" s="40"/>
      <c r="BN317" s="40"/>
      <c r="BO317" s="40"/>
      <c r="BP317" s="40"/>
      <c r="BQ317" s="40"/>
      <c r="BR317" s="40"/>
      <c r="BS317" s="40"/>
      <c r="BT317" s="40"/>
      <c r="BU317" s="40"/>
      <c r="BV317" s="40"/>
      <c r="BW317" s="40"/>
      <c r="BX317" s="40"/>
      <c r="BY317" s="40"/>
      <c r="BZ317" s="40"/>
      <c r="CA317" s="40"/>
      <c r="CB317" s="40"/>
      <c r="CC317" s="40"/>
      <c r="CD317" s="40"/>
      <c r="CE317" s="40"/>
      <c r="CF317" s="40"/>
      <c r="CG317" s="40"/>
      <c r="CH317" s="40"/>
      <c r="CI317" s="40"/>
      <c r="CJ317" s="40"/>
      <c r="CK317" s="40"/>
      <c r="CL317" s="40"/>
      <c r="CM317" s="40"/>
      <c r="CN317" s="40"/>
      <c r="CO317" s="40"/>
      <c r="CP317" s="40"/>
      <c r="CQ317" s="40"/>
      <c r="CR317" s="40"/>
      <c r="CS317" s="40"/>
    </row>
    <row r="318" spans="1:97">
      <c r="A318" s="397"/>
      <c r="B318" s="397"/>
      <c r="C318" s="397"/>
      <c r="D318" s="397"/>
      <c r="E318" s="397"/>
      <c r="F318" s="397"/>
      <c r="G318" s="180"/>
      <c r="H318" s="46"/>
      <c r="I318" s="53"/>
      <c r="J318" s="53"/>
      <c r="K318" s="192"/>
      <c r="L318" s="192"/>
      <c r="M318" s="192"/>
      <c r="N318" s="192"/>
      <c r="O318" s="192"/>
      <c r="P318" s="192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40"/>
      <c r="BB318" s="40"/>
      <c r="BC318" s="40"/>
      <c r="BD318" s="40"/>
      <c r="BE318" s="40"/>
      <c r="BF318" s="40"/>
      <c r="BG318" s="40"/>
      <c r="BH318" s="40"/>
      <c r="BI318" s="40"/>
      <c r="BJ318" s="40"/>
      <c r="BK318" s="40"/>
      <c r="BL318" s="40"/>
      <c r="BM318" s="40"/>
      <c r="BN318" s="40"/>
      <c r="BO318" s="40"/>
      <c r="BP318" s="40"/>
      <c r="BQ318" s="40"/>
      <c r="BR318" s="40"/>
      <c r="BS318" s="40"/>
      <c r="BT318" s="40"/>
      <c r="BU318" s="40"/>
      <c r="BV318" s="40"/>
      <c r="BW318" s="40"/>
      <c r="BX318" s="40"/>
      <c r="BY318" s="40"/>
      <c r="BZ318" s="40"/>
      <c r="CA318" s="40"/>
      <c r="CB318" s="40"/>
      <c r="CC318" s="40"/>
      <c r="CD318" s="40"/>
      <c r="CE318" s="40"/>
      <c r="CF318" s="40"/>
      <c r="CG318" s="40"/>
      <c r="CH318" s="40"/>
      <c r="CI318" s="40"/>
      <c r="CJ318" s="40"/>
      <c r="CK318" s="40"/>
      <c r="CL318" s="40"/>
      <c r="CM318" s="40"/>
      <c r="CN318" s="40"/>
      <c r="CO318" s="40"/>
      <c r="CP318" s="40"/>
      <c r="CQ318" s="40"/>
      <c r="CR318" s="40"/>
      <c r="CS318" s="40"/>
    </row>
    <row r="319" spans="1:97">
      <c r="A319" s="397"/>
      <c r="B319" s="397"/>
      <c r="C319" s="397"/>
      <c r="D319" s="397"/>
      <c r="E319" s="397"/>
      <c r="F319" s="397"/>
      <c r="G319" s="180"/>
      <c r="H319" s="46"/>
      <c r="I319" s="53"/>
      <c r="J319" s="53"/>
      <c r="K319" s="192"/>
      <c r="L319" s="192"/>
      <c r="M319" s="192"/>
      <c r="N319" s="192"/>
      <c r="O319" s="192"/>
      <c r="P319" s="192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0"/>
      <c r="AZ319" s="40"/>
      <c r="BA319" s="40"/>
      <c r="BB319" s="40"/>
      <c r="BC319" s="40"/>
      <c r="BD319" s="40"/>
      <c r="BE319" s="40"/>
      <c r="BF319" s="40"/>
      <c r="BG319" s="40"/>
      <c r="BH319" s="40"/>
      <c r="BI319" s="40"/>
      <c r="BJ319" s="40"/>
      <c r="BK319" s="40"/>
      <c r="BL319" s="40"/>
      <c r="BM319" s="40"/>
      <c r="BN319" s="40"/>
      <c r="BO319" s="40"/>
      <c r="BP319" s="40"/>
      <c r="BQ319" s="40"/>
      <c r="BR319" s="40"/>
      <c r="BS319" s="40"/>
      <c r="BT319" s="40"/>
      <c r="BU319" s="40"/>
      <c r="BV319" s="40"/>
      <c r="BW319" s="40"/>
      <c r="BX319" s="40"/>
      <c r="BY319" s="40"/>
      <c r="BZ319" s="40"/>
      <c r="CA319" s="40"/>
      <c r="CB319" s="40"/>
      <c r="CC319" s="40"/>
      <c r="CD319" s="40"/>
      <c r="CE319" s="40"/>
      <c r="CF319" s="40"/>
      <c r="CG319" s="40"/>
      <c r="CH319" s="40"/>
      <c r="CI319" s="40"/>
      <c r="CJ319" s="40"/>
      <c r="CK319" s="40"/>
      <c r="CL319" s="40"/>
      <c r="CM319" s="40"/>
      <c r="CN319" s="40"/>
      <c r="CO319" s="40"/>
      <c r="CP319" s="40"/>
      <c r="CQ319" s="40"/>
      <c r="CR319" s="40"/>
      <c r="CS319" s="40"/>
    </row>
    <row r="320" spans="1:97">
      <c r="A320" s="397"/>
      <c r="B320" s="397"/>
      <c r="C320" s="397"/>
      <c r="D320" s="397"/>
      <c r="E320" s="397"/>
      <c r="F320" s="397"/>
      <c r="G320" s="180"/>
      <c r="H320" s="46"/>
      <c r="I320" s="53"/>
      <c r="J320" s="53"/>
      <c r="K320" s="192"/>
      <c r="L320" s="192"/>
      <c r="M320" s="192"/>
      <c r="N320" s="192"/>
      <c r="O320" s="192"/>
      <c r="P320" s="192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  <c r="BB320" s="40"/>
      <c r="BC320" s="40"/>
      <c r="BD320" s="40"/>
      <c r="BE320" s="40"/>
      <c r="BF320" s="40"/>
      <c r="BG320" s="40"/>
      <c r="BH320" s="40"/>
      <c r="BI320" s="40"/>
      <c r="BJ320" s="40"/>
      <c r="BK320" s="40"/>
      <c r="BL320" s="40"/>
      <c r="BM320" s="40"/>
      <c r="BN320" s="40"/>
      <c r="BO320" s="40"/>
      <c r="BP320" s="40"/>
      <c r="BQ320" s="40"/>
      <c r="BR320" s="40"/>
      <c r="BS320" s="40"/>
      <c r="BT320" s="40"/>
      <c r="BU320" s="40"/>
      <c r="BV320" s="40"/>
      <c r="BW320" s="40"/>
      <c r="BX320" s="40"/>
      <c r="BY320" s="40"/>
      <c r="BZ320" s="40"/>
      <c r="CA320" s="40"/>
      <c r="CB320" s="40"/>
      <c r="CC320" s="40"/>
      <c r="CD320" s="40"/>
      <c r="CE320" s="40"/>
      <c r="CF320" s="40"/>
      <c r="CG320" s="40"/>
      <c r="CH320" s="40"/>
      <c r="CI320" s="40"/>
      <c r="CJ320" s="40"/>
      <c r="CK320" s="40"/>
      <c r="CL320" s="40"/>
      <c r="CM320" s="40"/>
      <c r="CN320" s="40"/>
      <c r="CO320" s="40"/>
      <c r="CP320" s="40"/>
      <c r="CQ320" s="40"/>
      <c r="CR320" s="40"/>
      <c r="CS320" s="40"/>
    </row>
    <row r="321" spans="1:97">
      <c r="A321" s="397"/>
      <c r="B321" s="397"/>
      <c r="C321" s="397"/>
      <c r="D321" s="397"/>
      <c r="E321" s="397"/>
      <c r="F321" s="397"/>
      <c r="G321" s="180"/>
      <c r="H321" s="46"/>
      <c r="I321" s="53"/>
      <c r="J321" s="53"/>
      <c r="K321" s="192"/>
      <c r="L321" s="192"/>
      <c r="M321" s="192"/>
      <c r="N321" s="192"/>
      <c r="O321" s="192"/>
      <c r="P321" s="192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AZ321" s="40"/>
      <c r="BA321" s="40"/>
      <c r="BB321" s="40"/>
      <c r="BC321" s="40"/>
      <c r="BD321" s="40"/>
      <c r="BE321" s="40"/>
      <c r="BF321" s="40"/>
      <c r="BG321" s="40"/>
      <c r="BH321" s="40"/>
      <c r="BI321" s="40"/>
      <c r="BJ321" s="40"/>
      <c r="BK321" s="40"/>
      <c r="BL321" s="40"/>
      <c r="BM321" s="40"/>
      <c r="BN321" s="40"/>
      <c r="BO321" s="40"/>
      <c r="BP321" s="40"/>
      <c r="BQ321" s="40"/>
      <c r="BR321" s="40"/>
      <c r="BS321" s="40"/>
      <c r="BT321" s="40"/>
      <c r="BU321" s="40"/>
      <c r="BV321" s="40"/>
      <c r="BW321" s="40"/>
      <c r="BX321" s="40"/>
      <c r="BY321" s="40"/>
      <c r="BZ321" s="40"/>
      <c r="CA321" s="40"/>
      <c r="CB321" s="40"/>
      <c r="CC321" s="40"/>
      <c r="CD321" s="40"/>
      <c r="CE321" s="40"/>
      <c r="CF321" s="40"/>
      <c r="CG321" s="40"/>
      <c r="CH321" s="40"/>
      <c r="CI321" s="40"/>
      <c r="CJ321" s="40"/>
      <c r="CK321" s="40"/>
      <c r="CL321" s="40"/>
      <c r="CM321" s="40"/>
      <c r="CN321" s="40"/>
      <c r="CO321" s="40"/>
      <c r="CP321" s="40"/>
      <c r="CQ321" s="40"/>
      <c r="CR321" s="40"/>
      <c r="CS321" s="40"/>
    </row>
    <row r="322" spans="1:97">
      <c r="A322" s="397"/>
      <c r="B322" s="397"/>
      <c r="C322" s="397"/>
      <c r="D322" s="397"/>
      <c r="E322" s="397"/>
      <c r="F322" s="397"/>
      <c r="G322" s="180"/>
      <c r="H322" s="46"/>
      <c r="I322" s="53"/>
      <c r="J322" s="53"/>
      <c r="K322" s="192"/>
      <c r="L322" s="192"/>
      <c r="M322" s="192"/>
      <c r="N322" s="192"/>
      <c r="O322" s="192"/>
      <c r="P322" s="192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  <c r="BH322" s="40"/>
      <c r="BI322" s="40"/>
      <c r="BJ322" s="40"/>
      <c r="BK322" s="40"/>
      <c r="BL322" s="40"/>
      <c r="BM322" s="40"/>
      <c r="BN322" s="40"/>
      <c r="BO322" s="40"/>
      <c r="BP322" s="40"/>
      <c r="BQ322" s="40"/>
      <c r="BR322" s="40"/>
      <c r="BS322" s="40"/>
      <c r="BT322" s="40"/>
      <c r="BU322" s="40"/>
      <c r="BV322" s="40"/>
      <c r="BW322" s="40"/>
      <c r="BX322" s="40"/>
      <c r="BY322" s="40"/>
      <c r="BZ322" s="40"/>
      <c r="CA322" s="40"/>
      <c r="CB322" s="40"/>
      <c r="CC322" s="40"/>
      <c r="CD322" s="40"/>
      <c r="CE322" s="40"/>
      <c r="CF322" s="40"/>
      <c r="CG322" s="40"/>
      <c r="CH322" s="40"/>
      <c r="CI322" s="40"/>
      <c r="CJ322" s="40"/>
      <c r="CK322" s="40"/>
      <c r="CL322" s="40"/>
      <c r="CM322" s="40"/>
      <c r="CN322" s="40"/>
      <c r="CO322" s="40"/>
      <c r="CP322" s="40"/>
      <c r="CQ322" s="40"/>
      <c r="CR322" s="40"/>
      <c r="CS322" s="40"/>
    </row>
    <row r="323" spans="1:97">
      <c r="A323" s="397"/>
      <c r="B323" s="397"/>
      <c r="C323" s="397"/>
      <c r="D323" s="397"/>
      <c r="E323" s="397"/>
      <c r="F323" s="397"/>
      <c r="G323" s="180"/>
      <c r="H323" s="46"/>
      <c r="I323" s="53"/>
      <c r="J323" s="53"/>
      <c r="K323" s="192"/>
      <c r="L323" s="192"/>
      <c r="M323" s="192"/>
      <c r="N323" s="192"/>
      <c r="O323" s="192"/>
      <c r="P323" s="192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AZ323" s="40"/>
      <c r="BA323" s="40"/>
      <c r="BB323" s="40"/>
      <c r="BC323" s="40"/>
      <c r="BD323" s="40"/>
      <c r="BE323" s="40"/>
      <c r="BF323" s="40"/>
      <c r="BG323" s="40"/>
      <c r="BH323" s="40"/>
      <c r="BI323" s="40"/>
      <c r="BJ323" s="40"/>
      <c r="BK323" s="40"/>
      <c r="BL323" s="40"/>
      <c r="BM323" s="40"/>
      <c r="BN323" s="40"/>
      <c r="BO323" s="40"/>
      <c r="BP323" s="40"/>
      <c r="BQ323" s="40"/>
      <c r="BR323" s="40"/>
      <c r="BS323" s="40"/>
      <c r="BT323" s="40"/>
      <c r="BU323" s="40"/>
      <c r="BV323" s="40"/>
      <c r="BW323" s="40"/>
      <c r="BX323" s="40"/>
      <c r="BY323" s="40"/>
      <c r="BZ323" s="40"/>
      <c r="CA323" s="40"/>
      <c r="CB323" s="40"/>
      <c r="CC323" s="40"/>
      <c r="CD323" s="40"/>
      <c r="CE323" s="40"/>
      <c r="CF323" s="40"/>
      <c r="CG323" s="40"/>
      <c r="CH323" s="40"/>
      <c r="CI323" s="40"/>
      <c r="CJ323" s="40"/>
      <c r="CK323" s="40"/>
      <c r="CL323" s="40"/>
      <c r="CM323" s="40"/>
      <c r="CN323" s="40"/>
      <c r="CO323" s="40"/>
      <c r="CP323" s="40"/>
      <c r="CQ323" s="40"/>
      <c r="CR323" s="40"/>
      <c r="CS323" s="40"/>
    </row>
    <row r="324" spans="1:97">
      <c r="A324" s="397"/>
      <c r="B324" s="397"/>
      <c r="C324" s="397"/>
      <c r="D324" s="397"/>
      <c r="E324" s="397"/>
      <c r="F324" s="397"/>
      <c r="G324" s="180"/>
      <c r="H324" s="46"/>
      <c r="I324" s="53"/>
      <c r="J324" s="53"/>
      <c r="K324" s="192"/>
      <c r="L324" s="192"/>
      <c r="M324" s="192"/>
      <c r="N324" s="192"/>
      <c r="O324" s="192"/>
      <c r="P324" s="192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  <c r="BB324" s="40"/>
      <c r="BC324" s="40"/>
      <c r="BD324" s="40"/>
      <c r="BE324" s="40"/>
      <c r="BF324" s="40"/>
      <c r="BG324" s="40"/>
      <c r="BH324" s="40"/>
      <c r="BI324" s="40"/>
      <c r="BJ324" s="40"/>
      <c r="BK324" s="40"/>
      <c r="BL324" s="40"/>
      <c r="BM324" s="40"/>
      <c r="BN324" s="40"/>
      <c r="BO324" s="40"/>
      <c r="BP324" s="40"/>
      <c r="BQ324" s="40"/>
      <c r="BR324" s="40"/>
      <c r="BS324" s="40"/>
      <c r="BT324" s="40"/>
      <c r="BU324" s="40"/>
      <c r="BV324" s="40"/>
      <c r="BW324" s="40"/>
      <c r="BX324" s="40"/>
      <c r="BY324" s="40"/>
      <c r="BZ324" s="40"/>
      <c r="CA324" s="40"/>
      <c r="CB324" s="40"/>
      <c r="CC324" s="40"/>
      <c r="CD324" s="40"/>
      <c r="CE324" s="40"/>
      <c r="CF324" s="40"/>
      <c r="CG324" s="40"/>
      <c r="CH324" s="40"/>
      <c r="CI324" s="40"/>
      <c r="CJ324" s="40"/>
      <c r="CK324" s="40"/>
      <c r="CL324" s="40"/>
      <c r="CM324" s="40"/>
      <c r="CN324" s="40"/>
      <c r="CO324" s="40"/>
      <c r="CP324" s="40"/>
      <c r="CQ324" s="40"/>
      <c r="CR324" s="40"/>
      <c r="CS324" s="40"/>
    </row>
    <row r="325" spans="1:97">
      <c r="A325" s="397"/>
      <c r="B325" s="397"/>
      <c r="C325" s="397"/>
      <c r="D325" s="397"/>
      <c r="E325" s="397"/>
      <c r="F325" s="397"/>
      <c r="G325" s="180"/>
      <c r="H325" s="46"/>
      <c r="I325" s="53"/>
      <c r="J325" s="53"/>
      <c r="K325" s="192"/>
      <c r="L325" s="192"/>
      <c r="M325" s="192"/>
      <c r="N325" s="192"/>
      <c r="O325" s="192"/>
      <c r="P325" s="192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AZ325" s="40"/>
      <c r="BA325" s="40"/>
      <c r="BB325" s="40"/>
      <c r="BC325" s="40"/>
      <c r="BD325" s="40"/>
      <c r="BE325" s="40"/>
      <c r="BF325" s="40"/>
      <c r="BG325" s="40"/>
      <c r="BH325" s="40"/>
      <c r="BI325" s="40"/>
      <c r="BJ325" s="40"/>
      <c r="BK325" s="40"/>
      <c r="BL325" s="40"/>
      <c r="BM325" s="40"/>
      <c r="BN325" s="40"/>
      <c r="BO325" s="40"/>
      <c r="BP325" s="40"/>
      <c r="BQ325" s="40"/>
      <c r="BR325" s="40"/>
      <c r="BS325" s="40"/>
      <c r="BT325" s="40"/>
      <c r="BU325" s="40"/>
      <c r="BV325" s="40"/>
      <c r="BW325" s="40"/>
      <c r="BX325" s="40"/>
      <c r="BY325" s="40"/>
      <c r="BZ325" s="40"/>
      <c r="CA325" s="40"/>
      <c r="CB325" s="40"/>
      <c r="CC325" s="40"/>
      <c r="CD325" s="40"/>
      <c r="CE325" s="40"/>
      <c r="CF325" s="40"/>
      <c r="CG325" s="40"/>
      <c r="CH325" s="40"/>
      <c r="CI325" s="40"/>
      <c r="CJ325" s="40"/>
      <c r="CK325" s="40"/>
      <c r="CL325" s="40"/>
      <c r="CM325" s="40"/>
      <c r="CN325" s="40"/>
      <c r="CO325" s="40"/>
      <c r="CP325" s="40"/>
      <c r="CQ325" s="40"/>
      <c r="CR325" s="40"/>
      <c r="CS325" s="40"/>
    </row>
    <row r="326" spans="1:97">
      <c r="A326" s="397"/>
      <c r="B326" s="397"/>
      <c r="C326" s="397"/>
      <c r="D326" s="397"/>
      <c r="E326" s="397"/>
      <c r="F326" s="397"/>
      <c r="G326" s="180"/>
      <c r="H326" s="46"/>
      <c r="I326" s="53"/>
      <c r="J326" s="53"/>
      <c r="K326" s="192"/>
      <c r="L326" s="192"/>
      <c r="M326" s="192"/>
      <c r="N326" s="192"/>
      <c r="O326" s="192"/>
      <c r="P326" s="192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0"/>
      <c r="AZ326" s="40"/>
      <c r="BA326" s="40"/>
      <c r="BB326" s="40"/>
      <c r="BC326" s="40"/>
      <c r="BD326" s="40"/>
      <c r="BE326" s="40"/>
      <c r="BF326" s="40"/>
      <c r="BG326" s="40"/>
      <c r="BH326" s="40"/>
      <c r="BI326" s="40"/>
      <c r="BJ326" s="40"/>
      <c r="BK326" s="40"/>
      <c r="BL326" s="40"/>
      <c r="BM326" s="40"/>
      <c r="BN326" s="40"/>
      <c r="BO326" s="40"/>
      <c r="BP326" s="40"/>
      <c r="BQ326" s="40"/>
      <c r="BR326" s="40"/>
      <c r="BS326" s="40"/>
      <c r="BT326" s="40"/>
      <c r="BU326" s="40"/>
      <c r="BV326" s="40"/>
      <c r="BW326" s="40"/>
      <c r="BX326" s="40"/>
      <c r="BY326" s="40"/>
      <c r="BZ326" s="40"/>
      <c r="CA326" s="40"/>
      <c r="CB326" s="40"/>
      <c r="CC326" s="40"/>
      <c r="CD326" s="40"/>
      <c r="CE326" s="40"/>
      <c r="CF326" s="40"/>
      <c r="CG326" s="40"/>
      <c r="CH326" s="40"/>
      <c r="CI326" s="40"/>
      <c r="CJ326" s="40"/>
      <c r="CK326" s="40"/>
      <c r="CL326" s="40"/>
      <c r="CM326" s="40"/>
      <c r="CN326" s="40"/>
      <c r="CO326" s="40"/>
      <c r="CP326" s="40"/>
      <c r="CQ326" s="40"/>
      <c r="CR326" s="40"/>
      <c r="CS326" s="40"/>
    </row>
    <row r="327" spans="1:97">
      <c r="A327" s="397"/>
      <c r="B327" s="397"/>
      <c r="C327" s="397"/>
      <c r="D327" s="397"/>
      <c r="E327" s="397"/>
      <c r="F327" s="397"/>
      <c r="G327" s="180"/>
      <c r="H327" s="46"/>
      <c r="I327" s="53"/>
      <c r="J327" s="53"/>
      <c r="K327" s="192"/>
      <c r="L327" s="192"/>
      <c r="M327" s="192"/>
      <c r="N327" s="192"/>
      <c r="O327" s="192"/>
      <c r="P327" s="192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0"/>
      <c r="AZ327" s="40"/>
      <c r="BA327" s="40"/>
      <c r="BB327" s="40"/>
      <c r="BC327" s="40"/>
      <c r="BD327" s="40"/>
      <c r="BE327" s="40"/>
      <c r="BF327" s="40"/>
      <c r="BG327" s="40"/>
      <c r="BH327" s="40"/>
      <c r="BI327" s="40"/>
      <c r="BJ327" s="40"/>
      <c r="BK327" s="40"/>
      <c r="BL327" s="40"/>
      <c r="BM327" s="40"/>
      <c r="BN327" s="40"/>
      <c r="BO327" s="40"/>
      <c r="BP327" s="40"/>
      <c r="BQ327" s="40"/>
      <c r="BR327" s="40"/>
      <c r="BS327" s="40"/>
      <c r="BT327" s="40"/>
      <c r="BU327" s="40"/>
      <c r="BV327" s="40"/>
      <c r="BW327" s="40"/>
      <c r="BX327" s="40"/>
      <c r="BY327" s="40"/>
      <c r="BZ327" s="40"/>
      <c r="CA327" s="40"/>
      <c r="CB327" s="40"/>
      <c r="CC327" s="40"/>
      <c r="CD327" s="40"/>
      <c r="CE327" s="40"/>
      <c r="CF327" s="40"/>
      <c r="CG327" s="40"/>
      <c r="CH327" s="40"/>
      <c r="CI327" s="40"/>
      <c r="CJ327" s="40"/>
      <c r="CK327" s="40"/>
      <c r="CL327" s="40"/>
      <c r="CM327" s="40"/>
      <c r="CN327" s="40"/>
      <c r="CO327" s="40"/>
      <c r="CP327" s="40"/>
      <c r="CQ327" s="40"/>
      <c r="CR327" s="40"/>
      <c r="CS327" s="40"/>
    </row>
    <row r="328" spans="1:97">
      <c r="A328" s="397"/>
      <c r="B328" s="397"/>
      <c r="C328" s="397"/>
      <c r="D328" s="397"/>
      <c r="E328" s="397"/>
      <c r="F328" s="397"/>
      <c r="G328" s="180"/>
      <c r="H328" s="46"/>
      <c r="I328" s="53"/>
      <c r="J328" s="53"/>
      <c r="K328" s="192"/>
      <c r="L328" s="192"/>
      <c r="M328" s="192"/>
      <c r="N328" s="192"/>
      <c r="O328" s="192"/>
      <c r="P328" s="192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  <c r="BB328" s="40"/>
      <c r="BC328" s="40"/>
      <c r="BD328" s="40"/>
      <c r="BE328" s="40"/>
      <c r="BF328" s="40"/>
      <c r="BG328" s="40"/>
      <c r="BH328" s="40"/>
      <c r="BI328" s="40"/>
      <c r="BJ328" s="40"/>
      <c r="BK328" s="40"/>
      <c r="BL328" s="40"/>
      <c r="BM328" s="40"/>
      <c r="BN328" s="40"/>
      <c r="BO328" s="40"/>
      <c r="BP328" s="40"/>
      <c r="BQ328" s="40"/>
      <c r="BR328" s="40"/>
      <c r="BS328" s="40"/>
      <c r="BT328" s="40"/>
      <c r="BU328" s="40"/>
      <c r="BV328" s="40"/>
      <c r="BW328" s="40"/>
      <c r="BX328" s="40"/>
      <c r="BY328" s="40"/>
      <c r="BZ328" s="40"/>
      <c r="CA328" s="40"/>
      <c r="CB328" s="40"/>
      <c r="CC328" s="40"/>
      <c r="CD328" s="40"/>
      <c r="CE328" s="40"/>
      <c r="CF328" s="40"/>
      <c r="CG328" s="40"/>
      <c r="CH328" s="40"/>
      <c r="CI328" s="40"/>
      <c r="CJ328" s="40"/>
      <c r="CK328" s="40"/>
      <c r="CL328" s="40"/>
      <c r="CM328" s="40"/>
      <c r="CN328" s="40"/>
      <c r="CO328" s="40"/>
      <c r="CP328" s="40"/>
      <c r="CQ328" s="40"/>
      <c r="CR328" s="40"/>
      <c r="CS328" s="40"/>
    </row>
    <row r="329" spans="1:97">
      <c r="A329" s="397"/>
      <c r="B329" s="397"/>
      <c r="C329" s="397"/>
      <c r="D329" s="397"/>
      <c r="E329" s="397"/>
      <c r="F329" s="397"/>
      <c r="G329" s="180"/>
      <c r="H329" s="46"/>
      <c r="I329" s="53"/>
      <c r="J329" s="53"/>
      <c r="K329" s="192"/>
      <c r="L329" s="192"/>
      <c r="M329" s="192"/>
      <c r="N329" s="192"/>
      <c r="O329" s="192"/>
      <c r="P329" s="192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AZ329" s="40"/>
      <c r="BA329" s="40"/>
      <c r="BB329" s="40"/>
      <c r="BC329" s="40"/>
      <c r="BD329" s="40"/>
      <c r="BE329" s="40"/>
      <c r="BF329" s="40"/>
      <c r="BG329" s="40"/>
      <c r="BH329" s="40"/>
      <c r="BI329" s="40"/>
      <c r="BJ329" s="40"/>
      <c r="BK329" s="40"/>
      <c r="BL329" s="40"/>
      <c r="BM329" s="40"/>
      <c r="BN329" s="40"/>
      <c r="BO329" s="40"/>
      <c r="BP329" s="40"/>
      <c r="BQ329" s="40"/>
      <c r="BR329" s="40"/>
      <c r="BS329" s="40"/>
      <c r="BT329" s="40"/>
      <c r="BU329" s="40"/>
      <c r="BV329" s="40"/>
      <c r="BW329" s="40"/>
      <c r="BX329" s="40"/>
      <c r="BY329" s="40"/>
      <c r="BZ329" s="40"/>
      <c r="CA329" s="40"/>
      <c r="CB329" s="40"/>
      <c r="CC329" s="40"/>
      <c r="CD329" s="40"/>
      <c r="CE329" s="40"/>
      <c r="CF329" s="40"/>
      <c r="CG329" s="40"/>
      <c r="CH329" s="40"/>
      <c r="CI329" s="40"/>
      <c r="CJ329" s="40"/>
      <c r="CK329" s="40"/>
      <c r="CL329" s="40"/>
      <c r="CM329" s="40"/>
      <c r="CN329" s="40"/>
      <c r="CO329" s="40"/>
      <c r="CP329" s="40"/>
      <c r="CQ329" s="40"/>
      <c r="CR329" s="40"/>
      <c r="CS329" s="40"/>
    </row>
    <row r="330" spans="1:97">
      <c r="A330" s="397"/>
      <c r="B330" s="397"/>
      <c r="C330" s="397"/>
      <c r="D330" s="397"/>
      <c r="E330" s="397"/>
      <c r="F330" s="397"/>
      <c r="G330" s="180"/>
      <c r="H330" s="46"/>
      <c r="I330" s="53"/>
      <c r="J330" s="53"/>
      <c r="K330" s="192"/>
      <c r="L330" s="192"/>
      <c r="M330" s="192"/>
      <c r="N330" s="192"/>
      <c r="O330" s="192"/>
      <c r="P330" s="192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AZ330" s="40"/>
      <c r="BA330" s="40"/>
      <c r="BB330" s="40"/>
      <c r="BC330" s="40"/>
      <c r="BD330" s="40"/>
      <c r="BE330" s="40"/>
      <c r="BF330" s="40"/>
      <c r="BG330" s="40"/>
      <c r="BH330" s="40"/>
      <c r="BI330" s="40"/>
      <c r="BJ330" s="40"/>
      <c r="BK330" s="40"/>
      <c r="BL330" s="40"/>
      <c r="BM330" s="40"/>
      <c r="BN330" s="40"/>
      <c r="BO330" s="40"/>
      <c r="BP330" s="40"/>
      <c r="BQ330" s="40"/>
      <c r="BR330" s="40"/>
      <c r="BS330" s="40"/>
      <c r="BT330" s="40"/>
      <c r="BU330" s="40"/>
      <c r="BV330" s="40"/>
      <c r="BW330" s="40"/>
      <c r="BX330" s="40"/>
      <c r="BY330" s="40"/>
      <c r="BZ330" s="40"/>
      <c r="CA330" s="40"/>
      <c r="CB330" s="40"/>
      <c r="CC330" s="40"/>
      <c r="CD330" s="40"/>
      <c r="CE330" s="40"/>
      <c r="CF330" s="40"/>
      <c r="CG330" s="40"/>
      <c r="CH330" s="40"/>
      <c r="CI330" s="40"/>
      <c r="CJ330" s="40"/>
      <c r="CK330" s="40"/>
      <c r="CL330" s="40"/>
      <c r="CM330" s="40"/>
      <c r="CN330" s="40"/>
      <c r="CO330" s="40"/>
      <c r="CP330" s="40"/>
      <c r="CQ330" s="40"/>
      <c r="CR330" s="40"/>
      <c r="CS330" s="40"/>
    </row>
    <row r="331" spans="1:97">
      <c r="A331" s="397"/>
      <c r="B331" s="397"/>
      <c r="C331" s="397"/>
      <c r="D331" s="397"/>
      <c r="E331" s="397"/>
      <c r="F331" s="397"/>
      <c r="G331" s="180"/>
      <c r="H331" s="46"/>
      <c r="I331" s="53"/>
      <c r="J331" s="53"/>
      <c r="K331" s="192"/>
      <c r="L331" s="192"/>
      <c r="M331" s="192"/>
      <c r="N331" s="192"/>
      <c r="O331" s="192"/>
      <c r="P331" s="192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  <c r="BB331" s="40"/>
      <c r="BC331" s="40"/>
      <c r="BD331" s="40"/>
      <c r="BE331" s="40"/>
      <c r="BF331" s="40"/>
      <c r="BG331" s="40"/>
      <c r="BH331" s="40"/>
      <c r="BI331" s="40"/>
      <c r="BJ331" s="40"/>
      <c r="BK331" s="40"/>
      <c r="BL331" s="40"/>
      <c r="BM331" s="40"/>
      <c r="BN331" s="40"/>
      <c r="BO331" s="40"/>
      <c r="BP331" s="40"/>
      <c r="BQ331" s="40"/>
      <c r="BR331" s="40"/>
      <c r="BS331" s="40"/>
      <c r="BT331" s="40"/>
      <c r="BU331" s="40"/>
      <c r="BV331" s="40"/>
      <c r="BW331" s="40"/>
      <c r="BX331" s="40"/>
      <c r="BY331" s="40"/>
      <c r="BZ331" s="40"/>
      <c r="CA331" s="40"/>
      <c r="CB331" s="40"/>
      <c r="CC331" s="40"/>
      <c r="CD331" s="40"/>
      <c r="CE331" s="40"/>
      <c r="CF331" s="40"/>
      <c r="CG331" s="40"/>
      <c r="CH331" s="40"/>
      <c r="CI331" s="40"/>
      <c r="CJ331" s="40"/>
      <c r="CK331" s="40"/>
      <c r="CL331" s="40"/>
      <c r="CM331" s="40"/>
      <c r="CN331" s="40"/>
      <c r="CO331" s="40"/>
      <c r="CP331" s="40"/>
      <c r="CQ331" s="40"/>
      <c r="CR331" s="40"/>
      <c r="CS331" s="40"/>
    </row>
    <row r="332" spans="1:97">
      <c r="A332" s="397"/>
      <c r="B332" s="397"/>
      <c r="C332" s="397"/>
      <c r="D332" s="397"/>
      <c r="E332" s="397"/>
      <c r="F332" s="397"/>
      <c r="G332" s="180"/>
      <c r="H332" s="46"/>
      <c r="I332" s="53"/>
      <c r="J332" s="53"/>
      <c r="K332" s="192"/>
      <c r="L332" s="192"/>
      <c r="M332" s="192"/>
      <c r="N332" s="192"/>
      <c r="O332" s="192"/>
      <c r="P332" s="192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  <c r="BB332" s="40"/>
      <c r="BC332" s="40"/>
      <c r="BD332" s="40"/>
      <c r="BE332" s="40"/>
      <c r="BF332" s="40"/>
      <c r="BG332" s="40"/>
      <c r="BH332" s="40"/>
      <c r="BI332" s="40"/>
      <c r="BJ332" s="40"/>
      <c r="BK332" s="40"/>
      <c r="BL332" s="40"/>
      <c r="BM332" s="40"/>
      <c r="BN332" s="40"/>
      <c r="BO332" s="40"/>
      <c r="BP332" s="40"/>
      <c r="BQ332" s="40"/>
      <c r="BR332" s="40"/>
      <c r="BS332" s="40"/>
      <c r="BT332" s="40"/>
      <c r="BU332" s="40"/>
      <c r="BV332" s="40"/>
      <c r="BW332" s="40"/>
      <c r="BX332" s="40"/>
      <c r="BY332" s="40"/>
      <c r="BZ332" s="40"/>
      <c r="CA332" s="40"/>
      <c r="CB332" s="40"/>
      <c r="CC332" s="40"/>
      <c r="CD332" s="40"/>
      <c r="CE332" s="40"/>
      <c r="CF332" s="40"/>
      <c r="CG332" s="40"/>
      <c r="CH332" s="40"/>
      <c r="CI332" s="40"/>
      <c r="CJ332" s="40"/>
      <c r="CK332" s="40"/>
      <c r="CL332" s="40"/>
      <c r="CM332" s="40"/>
      <c r="CN332" s="40"/>
      <c r="CO332" s="40"/>
      <c r="CP332" s="40"/>
      <c r="CQ332" s="40"/>
      <c r="CR332" s="40"/>
      <c r="CS332" s="40"/>
    </row>
    <row r="333" spans="1:97">
      <c r="A333" s="397"/>
      <c r="B333" s="397"/>
      <c r="C333" s="397"/>
      <c r="D333" s="397"/>
      <c r="E333" s="397"/>
      <c r="F333" s="397"/>
      <c r="G333" s="180"/>
      <c r="H333" s="46"/>
      <c r="I333" s="53"/>
      <c r="J333" s="53"/>
      <c r="K333" s="192"/>
      <c r="L333" s="192"/>
      <c r="M333" s="192"/>
      <c r="N333" s="192"/>
      <c r="O333" s="192"/>
      <c r="P333" s="192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40"/>
      <c r="BB333" s="40"/>
      <c r="BC333" s="40"/>
      <c r="BD333" s="40"/>
      <c r="BE333" s="40"/>
      <c r="BF333" s="40"/>
      <c r="BG333" s="40"/>
      <c r="BH333" s="40"/>
      <c r="BI333" s="40"/>
      <c r="BJ333" s="40"/>
      <c r="BK333" s="40"/>
      <c r="BL333" s="40"/>
      <c r="BM333" s="40"/>
      <c r="BN333" s="40"/>
      <c r="BO333" s="40"/>
      <c r="BP333" s="40"/>
      <c r="BQ333" s="40"/>
      <c r="BR333" s="40"/>
      <c r="BS333" s="40"/>
      <c r="BT333" s="40"/>
      <c r="BU333" s="40"/>
      <c r="BV333" s="40"/>
      <c r="BW333" s="40"/>
      <c r="BX333" s="40"/>
      <c r="BY333" s="40"/>
      <c r="BZ333" s="40"/>
      <c r="CA333" s="40"/>
      <c r="CB333" s="40"/>
      <c r="CC333" s="40"/>
      <c r="CD333" s="40"/>
      <c r="CE333" s="40"/>
      <c r="CF333" s="40"/>
      <c r="CG333" s="40"/>
      <c r="CH333" s="40"/>
      <c r="CI333" s="40"/>
      <c r="CJ333" s="40"/>
      <c r="CK333" s="40"/>
      <c r="CL333" s="40"/>
      <c r="CM333" s="40"/>
      <c r="CN333" s="40"/>
      <c r="CO333" s="40"/>
      <c r="CP333" s="40"/>
      <c r="CQ333" s="40"/>
      <c r="CR333" s="40"/>
      <c r="CS333" s="40"/>
    </row>
    <row r="334" spans="1:97">
      <c r="A334" s="397"/>
      <c r="B334" s="397"/>
      <c r="C334" s="397"/>
      <c r="D334" s="397"/>
      <c r="E334" s="397"/>
      <c r="F334" s="397"/>
      <c r="G334" s="180"/>
      <c r="H334" s="46"/>
      <c r="I334" s="53"/>
      <c r="J334" s="53"/>
      <c r="K334" s="192"/>
      <c r="L334" s="192"/>
      <c r="M334" s="192"/>
      <c r="N334" s="192"/>
      <c r="O334" s="192"/>
      <c r="P334" s="192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AZ334" s="40"/>
      <c r="BA334" s="40"/>
      <c r="BB334" s="40"/>
      <c r="BC334" s="40"/>
      <c r="BD334" s="40"/>
      <c r="BE334" s="40"/>
      <c r="BF334" s="40"/>
      <c r="BG334" s="40"/>
      <c r="BH334" s="40"/>
      <c r="BI334" s="40"/>
      <c r="BJ334" s="40"/>
      <c r="BK334" s="40"/>
      <c r="BL334" s="40"/>
      <c r="BM334" s="40"/>
      <c r="BN334" s="40"/>
      <c r="BO334" s="40"/>
      <c r="BP334" s="40"/>
      <c r="BQ334" s="40"/>
      <c r="BR334" s="40"/>
      <c r="BS334" s="40"/>
      <c r="BT334" s="40"/>
      <c r="BU334" s="40"/>
      <c r="BV334" s="40"/>
      <c r="BW334" s="40"/>
      <c r="BX334" s="40"/>
      <c r="BY334" s="40"/>
      <c r="BZ334" s="40"/>
      <c r="CA334" s="40"/>
      <c r="CB334" s="40"/>
      <c r="CC334" s="40"/>
      <c r="CD334" s="40"/>
      <c r="CE334" s="40"/>
      <c r="CF334" s="40"/>
      <c r="CG334" s="40"/>
      <c r="CH334" s="40"/>
      <c r="CI334" s="40"/>
      <c r="CJ334" s="40"/>
      <c r="CK334" s="40"/>
      <c r="CL334" s="40"/>
      <c r="CM334" s="40"/>
      <c r="CN334" s="40"/>
      <c r="CO334" s="40"/>
      <c r="CP334" s="40"/>
      <c r="CQ334" s="40"/>
      <c r="CR334" s="40"/>
      <c r="CS334" s="40"/>
    </row>
    <row r="335" spans="1:97">
      <c r="A335" s="397"/>
      <c r="B335" s="397"/>
      <c r="C335" s="397"/>
      <c r="D335" s="397"/>
      <c r="E335" s="397"/>
      <c r="F335" s="397"/>
      <c r="G335" s="180"/>
      <c r="H335" s="46"/>
      <c r="I335" s="53"/>
      <c r="J335" s="53"/>
      <c r="K335" s="192"/>
      <c r="L335" s="192"/>
      <c r="M335" s="192"/>
      <c r="N335" s="192"/>
      <c r="O335" s="192"/>
      <c r="P335" s="192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40"/>
      <c r="AY335" s="40"/>
      <c r="AZ335" s="40"/>
      <c r="BA335" s="40"/>
      <c r="BB335" s="40"/>
      <c r="BC335" s="40"/>
      <c r="BD335" s="40"/>
      <c r="BE335" s="40"/>
      <c r="BF335" s="40"/>
      <c r="BG335" s="40"/>
      <c r="BH335" s="40"/>
      <c r="BI335" s="40"/>
      <c r="BJ335" s="40"/>
      <c r="BK335" s="40"/>
      <c r="BL335" s="40"/>
      <c r="BM335" s="40"/>
      <c r="BN335" s="40"/>
      <c r="BO335" s="40"/>
      <c r="BP335" s="40"/>
      <c r="BQ335" s="40"/>
      <c r="BR335" s="40"/>
      <c r="BS335" s="40"/>
      <c r="BT335" s="40"/>
      <c r="BU335" s="40"/>
      <c r="BV335" s="40"/>
      <c r="BW335" s="40"/>
      <c r="BX335" s="40"/>
      <c r="BY335" s="40"/>
      <c r="BZ335" s="40"/>
      <c r="CA335" s="40"/>
      <c r="CB335" s="40"/>
      <c r="CC335" s="40"/>
      <c r="CD335" s="40"/>
      <c r="CE335" s="40"/>
      <c r="CF335" s="40"/>
      <c r="CG335" s="40"/>
      <c r="CH335" s="40"/>
      <c r="CI335" s="40"/>
      <c r="CJ335" s="40"/>
      <c r="CK335" s="40"/>
      <c r="CL335" s="40"/>
      <c r="CM335" s="40"/>
      <c r="CN335" s="40"/>
      <c r="CO335" s="40"/>
      <c r="CP335" s="40"/>
      <c r="CQ335" s="40"/>
      <c r="CR335" s="40"/>
      <c r="CS335" s="40"/>
    </row>
    <row r="336" spans="1:97">
      <c r="A336" s="397"/>
      <c r="B336" s="397"/>
      <c r="C336" s="397"/>
      <c r="D336" s="397"/>
      <c r="E336" s="397"/>
      <c r="F336" s="397"/>
      <c r="G336" s="180"/>
      <c r="H336" s="46"/>
      <c r="I336" s="53"/>
      <c r="J336" s="53"/>
      <c r="K336" s="192"/>
      <c r="L336" s="192"/>
      <c r="M336" s="192"/>
      <c r="N336" s="192"/>
      <c r="O336" s="192"/>
      <c r="P336" s="192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40"/>
      <c r="AY336" s="40"/>
      <c r="AZ336" s="40"/>
      <c r="BA336" s="40"/>
      <c r="BB336" s="40"/>
      <c r="BC336" s="40"/>
      <c r="BD336" s="40"/>
      <c r="BE336" s="40"/>
      <c r="BF336" s="40"/>
      <c r="BG336" s="40"/>
      <c r="BH336" s="40"/>
      <c r="BI336" s="40"/>
      <c r="BJ336" s="40"/>
      <c r="BK336" s="40"/>
      <c r="BL336" s="40"/>
      <c r="BM336" s="40"/>
      <c r="BN336" s="40"/>
      <c r="BO336" s="40"/>
      <c r="BP336" s="40"/>
      <c r="BQ336" s="40"/>
      <c r="BR336" s="40"/>
      <c r="BS336" s="40"/>
      <c r="BT336" s="40"/>
      <c r="BU336" s="40"/>
      <c r="BV336" s="40"/>
      <c r="BW336" s="40"/>
      <c r="BX336" s="40"/>
      <c r="BY336" s="40"/>
      <c r="BZ336" s="40"/>
      <c r="CA336" s="40"/>
      <c r="CB336" s="40"/>
      <c r="CC336" s="40"/>
      <c r="CD336" s="40"/>
      <c r="CE336" s="40"/>
      <c r="CF336" s="40"/>
      <c r="CG336" s="40"/>
      <c r="CH336" s="40"/>
      <c r="CI336" s="40"/>
      <c r="CJ336" s="40"/>
      <c r="CK336" s="40"/>
      <c r="CL336" s="40"/>
      <c r="CM336" s="40"/>
      <c r="CN336" s="40"/>
      <c r="CO336" s="40"/>
      <c r="CP336" s="40"/>
      <c r="CQ336" s="40"/>
      <c r="CR336" s="40"/>
      <c r="CS336" s="40"/>
    </row>
    <row r="337" spans="1:97">
      <c r="A337" s="397"/>
      <c r="B337" s="397"/>
      <c r="C337" s="397"/>
      <c r="D337" s="397"/>
      <c r="E337" s="397"/>
      <c r="F337" s="397"/>
      <c r="G337" s="180"/>
      <c r="H337" s="46"/>
      <c r="I337" s="53"/>
      <c r="J337" s="53"/>
      <c r="K337" s="192"/>
      <c r="L337" s="192"/>
      <c r="M337" s="192"/>
      <c r="N337" s="192"/>
      <c r="O337" s="192"/>
      <c r="P337" s="192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  <c r="BH337" s="40"/>
      <c r="BI337" s="40"/>
      <c r="BJ337" s="40"/>
      <c r="BK337" s="40"/>
      <c r="BL337" s="40"/>
      <c r="BM337" s="40"/>
      <c r="BN337" s="40"/>
      <c r="BO337" s="40"/>
      <c r="BP337" s="40"/>
      <c r="BQ337" s="40"/>
      <c r="BR337" s="40"/>
      <c r="BS337" s="40"/>
      <c r="BT337" s="40"/>
      <c r="BU337" s="40"/>
      <c r="BV337" s="40"/>
      <c r="BW337" s="40"/>
      <c r="BX337" s="40"/>
      <c r="BY337" s="40"/>
      <c r="BZ337" s="40"/>
      <c r="CA337" s="40"/>
      <c r="CB337" s="40"/>
      <c r="CC337" s="40"/>
      <c r="CD337" s="40"/>
      <c r="CE337" s="40"/>
      <c r="CF337" s="40"/>
      <c r="CG337" s="40"/>
      <c r="CH337" s="40"/>
      <c r="CI337" s="40"/>
      <c r="CJ337" s="40"/>
      <c r="CK337" s="40"/>
      <c r="CL337" s="40"/>
      <c r="CM337" s="40"/>
      <c r="CN337" s="40"/>
      <c r="CO337" s="40"/>
      <c r="CP337" s="40"/>
      <c r="CQ337" s="40"/>
      <c r="CR337" s="40"/>
      <c r="CS337" s="40"/>
    </row>
    <row r="338" spans="1:97">
      <c r="A338" s="397"/>
      <c r="B338" s="397"/>
      <c r="C338" s="397"/>
      <c r="D338" s="397"/>
      <c r="E338" s="397"/>
      <c r="F338" s="397"/>
      <c r="G338" s="180"/>
      <c r="H338" s="46"/>
      <c r="I338" s="53"/>
      <c r="J338" s="53"/>
      <c r="K338" s="192"/>
      <c r="L338" s="192"/>
      <c r="M338" s="192"/>
      <c r="N338" s="192"/>
      <c r="O338" s="192"/>
      <c r="P338" s="192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AZ338" s="40"/>
      <c r="BA338" s="40"/>
      <c r="BB338" s="40"/>
      <c r="BC338" s="40"/>
      <c r="BD338" s="40"/>
      <c r="BE338" s="40"/>
      <c r="BF338" s="40"/>
      <c r="BG338" s="40"/>
      <c r="BH338" s="40"/>
      <c r="BI338" s="40"/>
      <c r="BJ338" s="40"/>
      <c r="BK338" s="40"/>
      <c r="BL338" s="40"/>
      <c r="BM338" s="40"/>
      <c r="BN338" s="40"/>
      <c r="BO338" s="40"/>
      <c r="BP338" s="40"/>
      <c r="BQ338" s="40"/>
      <c r="BR338" s="40"/>
      <c r="BS338" s="40"/>
      <c r="BT338" s="40"/>
      <c r="BU338" s="40"/>
      <c r="BV338" s="40"/>
      <c r="BW338" s="40"/>
      <c r="BX338" s="40"/>
      <c r="BY338" s="40"/>
      <c r="BZ338" s="40"/>
      <c r="CA338" s="40"/>
      <c r="CB338" s="40"/>
      <c r="CC338" s="40"/>
      <c r="CD338" s="40"/>
      <c r="CE338" s="40"/>
      <c r="CF338" s="40"/>
      <c r="CG338" s="40"/>
      <c r="CH338" s="40"/>
      <c r="CI338" s="40"/>
      <c r="CJ338" s="40"/>
      <c r="CK338" s="40"/>
      <c r="CL338" s="40"/>
      <c r="CM338" s="40"/>
      <c r="CN338" s="40"/>
      <c r="CO338" s="40"/>
      <c r="CP338" s="40"/>
      <c r="CQ338" s="40"/>
      <c r="CR338" s="40"/>
      <c r="CS338" s="40"/>
    </row>
    <row r="339" spans="1:97">
      <c r="A339" s="397"/>
      <c r="B339" s="397"/>
      <c r="C339" s="397"/>
      <c r="D339" s="397"/>
      <c r="E339" s="397"/>
      <c r="F339" s="397"/>
      <c r="G339" s="180"/>
      <c r="H339" s="46"/>
      <c r="I339" s="53"/>
      <c r="J339" s="53"/>
      <c r="K339" s="192"/>
      <c r="L339" s="192"/>
      <c r="M339" s="192"/>
      <c r="N339" s="192"/>
      <c r="O339" s="192"/>
      <c r="P339" s="192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40"/>
      <c r="AY339" s="40"/>
      <c r="AZ339" s="40"/>
      <c r="BA339" s="40"/>
      <c r="BB339" s="40"/>
      <c r="BC339" s="40"/>
      <c r="BD339" s="40"/>
      <c r="BE339" s="40"/>
      <c r="BF339" s="40"/>
      <c r="BG339" s="40"/>
      <c r="BH339" s="40"/>
      <c r="BI339" s="40"/>
      <c r="BJ339" s="40"/>
      <c r="BK339" s="40"/>
      <c r="BL339" s="40"/>
      <c r="BM339" s="40"/>
      <c r="BN339" s="40"/>
      <c r="BO339" s="40"/>
      <c r="BP339" s="40"/>
      <c r="BQ339" s="40"/>
      <c r="BR339" s="40"/>
      <c r="BS339" s="40"/>
      <c r="BT339" s="40"/>
      <c r="BU339" s="40"/>
      <c r="BV339" s="40"/>
      <c r="BW339" s="40"/>
      <c r="BX339" s="40"/>
      <c r="BY339" s="40"/>
      <c r="BZ339" s="40"/>
      <c r="CA339" s="40"/>
      <c r="CB339" s="40"/>
      <c r="CC339" s="40"/>
      <c r="CD339" s="40"/>
      <c r="CE339" s="40"/>
      <c r="CF339" s="40"/>
      <c r="CG339" s="40"/>
      <c r="CH339" s="40"/>
      <c r="CI339" s="40"/>
      <c r="CJ339" s="40"/>
      <c r="CK339" s="40"/>
      <c r="CL339" s="40"/>
      <c r="CM339" s="40"/>
      <c r="CN339" s="40"/>
      <c r="CO339" s="40"/>
      <c r="CP339" s="40"/>
      <c r="CQ339" s="40"/>
      <c r="CR339" s="40"/>
      <c r="CS339" s="40"/>
    </row>
    <row r="340" spans="1:97">
      <c r="A340" s="397"/>
      <c r="B340" s="397"/>
      <c r="C340" s="397"/>
      <c r="D340" s="397"/>
      <c r="E340" s="397"/>
      <c r="F340" s="397"/>
      <c r="G340" s="180"/>
      <c r="H340" s="46"/>
      <c r="I340" s="53"/>
      <c r="J340" s="53"/>
      <c r="K340" s="192"/>
      <c r="L340" s="192"/>
      <c r="M340" s="192"/>
      <c r="N340" s="192"/>
      <c r="O340" s="192"/>
      <c r="P340" s="192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AZ340" s="40"/>
      <c r="BA340" s="40"/>
      <c r="BB340" s="40"/>
      <c r="BC340" s="40"/>
      <c r="BD340" s="40"/>
      <c r="BE340" s="40"/>
      <c r="BF340" s="40"/>
      <c r="BG340" s="40"/>
      <c r="BH340" s="40"/>
      <c r="BI340" s="40"/>
      <c r="BJ340" s="40"/>
      <c r="BK340" s="40"/>
      <c r="BL340" s="40"/>
      <c r="BM340" s="40"/>
      <c r="BN340" s="40"/>
      <c r="BO340" s="40"/>
      <c r="BP340" s="40"/>
      <c r="BQ340" s="40"/>
      <c r="BR340" s="40"/>
      <c r="BS340" s="40"/>
      <c r="BT340" s="40"/>
      <c r="BU340" s="40"/>
      <c r="BV340" s="40"/>
      <c r="BW340" s="40"/>
      <c r="BX340" s="40"/>
      <c r="BY340" s="40"/>
      <c r="BZ340" s="40"/>
      <c r="CA340" s="40"/>
      <c r="CB340" s="40"/>
      <c r="CC340" s="40"/>
      <c r="CD340" s="40"/>
      <c r="CE340" s="40"/>
      <c r="CF340" s="40"/>
      <c r="CG340" s="40"/>
      <c r="CH340" s="40"/>
      <c r="CI340" s="40"/>
      <c r="CJ340" s="40"/>
      <c r="CK340" s="40"/>
      <c r="CL340" s="40"/>
      <c r="CM340" s="40"/>
      <c r="CN340" s="40"/>
      <c r="CO340" s="40"/>
      <c r="CP340" s="40"/>
      <c r="CQ340" s="40"/>
      <c r="CR340" s="40"/>
      <c r="CS340" s="40"/>
    </row>
    <row r="341" spans="1:97">
      <c r="A341" s="397"/>
      <c r="B341" s="397"/>
      <c r="C341" s="397"/>
      <c r="D341" s="397"/>
      <c r="E341" s="397"/>
      <c r="F341" s="397"/>
      <c r="G341" s="180"/>
      <c r="H341" s="46"/>
      <c r="I341" s="53"/>
      <c r="J341" s="53"/>
      <c r="K341" s="192"/>
      <c r="L341" s="192"/>
      <c r="M341" s="192"/>
      <c r="N341" s="192"/>
      <c r="O341" s="192"/>
      <c r="P341" s="192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0"/>
      <c r="AZ341" s="40"/>
      <c r="BA341" s="40"/>
      <c r="BB341" s="40"/>
      <c r="BC341" s="40"/>
      <c r="BD341" s="40"/>
      <c r="BE341" s="40"/>
      <c r="BF341" s="40"/>
      <c r="BG341" s="40"/>
      <c r="BH341" s="40"/>
      <c r="BI341" s="40"/>
      <c r="BJ341" s="40"/>
      <c r="BK341" s="40"/>
      <c r="BL341" s="40"/>
      <c r="BM341" s="40"/>
      <c r="BN341" s="40"/>
      <c r="BO341" s="40"/>
      <c r="BP341" s="40"/>
      <c r="BQ341" s="40"/>
      <c r="BR341" s="40"/>
      <c r="BS341" s="40"/>
      <c r="BT341" s="40"/>
      <c r="BU341" s="40"/>
      <c r="BV341" s="40"/>
      <c r="BW341" s="40"/>
      <c r="BX341" s="40"/>
      <c r="BY341" s="40"/>
      <c r="BZ341" s="40"/>
      <c r="CA341" s="40"/>
      <c r="CB341" s="40"/>
      <c r="CC341" s="40"/>
      <c r="CD341" s="40"/>
      <c r="CE341" s="40"/>
      <c r="CF341" s="40"/>
      <c r="CG341" s="40"/>
      <c r="CH341" s="40"/>
      <c r="CI341" s="40"/>
      <c r="CJ341" s="40"/>
      <c r="CK341" s="40"/>
      <c r="CL341" s="40"/>
      <c r="CM341" s="40"/>
      <c r="CN341" s="40"/>
      <c r="CO341" s="40"/>
      <c r="CP341" s="40"/>
      <c r="CQ341" s="40"/>
      <c r="CR341" s="40"/>
      <c r="CS341" s="40"/>
    </row>
    <row r="342" spans="1:97">
      <c r="A342" s="397"/>
      <c r="B342" s="397"/>
      <c r="C342" s="397"/>
      <c r="D342" s="397"/>
      <c r="E342" s="397"/>
      <c r="F342" s="397"/>
      <c r="G342" s="180"/>
      <c r="H342" s="46"/>
      <c r="I342" s="53"/>
      <c r="J342" s="53"/>
      <c r="K342" s="192"/>
      <c r="L342" s="192"/>
      <c r="M342" s="192"/>
      <c r="N342" s="192"/>
      <c r="O342" s="192"/>
      <c r="P342" s="192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0"/>
      <c r="AZ342" s="40"/>
      <c r="BA342" s="40"/>
      <c r="BB342" s="40"/>
      <c r="BC342" s="40"/>
      <c r="BD342" s="40"/>
      <c r="BE342" s="40"/>
      <c r="BF342" s="40"/>
      <c r="BG342" s="40"/>
      <c r="BH342" s="40"/>
      <c r="BI342" s="40"/>
      <c r="BJ342" s="40"/>
      <c r="BK342" s="40"/>
      <c r="BL342" s="40"/>
      <c r="BM342" s="40"/>
      <c r="BN342" s="40"/>
      <c r="BO342" s="40"/>
      <c r="BP342" s="40"/>
      <c r="BQ342" s="40"/>
      <c r="BR342" s="40"/>
      <c r="BS342" s="40"/>
      <c r="BT342" s="40"/>
      <c r="BU342" s="40"/>
      <c r="BV342" s="40"/>
      <c r="BW342" s="40"/>
      <c r="BX342" s="40"/>
      <c r="BY342" s="40"/>
      <c r="BZ342" s="40"/>
      <c r="CA342" s="40"/>
      <c r="CB342" s="40"/>
      <c r="CC342" s="40"/>
      <c r="CD342" s="40"/>
      <c r="CE342" s="40"/>
      <c r="CF342" s="40"/>
      <c r="CG342" s="40"/>
      <c r="CH342" s="40"/>
      <c r="CI342" s="40"/>
      <c r="CJ342" s="40"/>
      <c r="CK342" s="40"/>
      <c r="CL342" s="40"/>
      <c r="CM342" s="40"/>
      <c r="CN342" s="40"/>
      <c r="CO342" s="40"/>
      <c r="CP342" s="40"/>
      <c r="CQ342" s="40"/>
      <c r="CR342" s="40"/>
      <c r="CS342" s="40"/>
    </row>
    <row r="343" spans="1:97">
      <c r="A343" s="397"/>
      <c r="B343" s="397"/>
      <c r="C343" s="397"/>
      <c r="D343" s="397"/>
      <c r="E343" s="397"/>
      <c r="F343" s="397"/>
      <c r="G343" s="180"/>
      <c r="H343" s="46"/>
      <c r="I343" s="53"/>
      <c r="J343" s="53"/>
      <c r="K343" s="192"/>
      <c r="L343" s="192"/>
      <c r="M343" s="192"/>
      <c r="N343" s="192"/>
      <c r="O343" s="192"/>
      <c r="P343" s="192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40"/>
      <c r="AY343" s="40"/>
      <c r="AZ343" s="40"/>
      <c r="BA343" s="40"/>
      <c r="BB343" s="40"/>
      <c r="BC343" s="40"/>
      <c r="BD343" s="40"/>
      <c r="BE343" s="40"/>
      <c r="BF343" s="40"/>
      <c r="BG343" s="40"/>
      <c r="BH343" s="40"/>
      <c r="BI343" s="40"/>
      <c r="BJ343" s="40"/>
      <c r="BK343" s="40"/>
      <c r="BL343" s="40"/>
      <c r="BM343" s="40"/>
      <c r="BN343" s="40"/>
      <c r="BO343" s="40"/>
      <c r="BP343" s="40"/>
      <c r="BQ343" s="40"/>
      <c r="BR343" s="40"/>
      <c r="BS343" s="40"/>
      <c r="BT343" s="40"/>
      <c r="BU343" s="40"/>
      <c r="BV343" s="40"/>
      <c r="BW343" s="40"/>
      <c r="BX343" s="40"/>
      <c r="BY343" s="40"/>
      <c r="BZ343" s="40"/>
      <c r="CA343" s="40"/>
      <c r="CB343" s="40"/>
      <c r="CC343" s="40"/>
      <c r="CD343" s="40"/>
      <c r="CE343" s="40"/>
      <c r="CF343" s="40"/>
      <c r="CG343" s="40"/>
      <c r="CH343" s="40"/>
      <c r="CI343" s="40"/>
      <c r="CJ343" s="40"/>
      <c r="CK343" s="40"/>
      <c r="CL343" s="40"/>
      <c r="CM343" s="40"/>
      <c r="CN343" s="40"/>
      <c r="CO343" s="40"/>
      <c r="CP343" s="40"/>
      <c r="CQ343" s="40"/>
      <c r="CR343" s="40"/>
      <c r="CS343" s="40"/>
    </row>
    <row r="344" spans="1:97">
      <c r="A344" s="397"/>
      <c r="B344" s="397"/>
      <c r="C344" s="397"/>
      <c r="D344" s="397"/>
      <c r="E344" s="397"/>
      <c r="F344" s="397"/>
      <c r="G344" s="180"/>
      <c r="H344" s="46"/>
      <c r="I344" s="53"/>
      <c r="J344" s="53"/>
      <c r="K344" s="192"/>
      <c r="L344" s="192"/>
      <c r="M344" s="192"/>
      <c r="N344" s="192"/>
      <c r="O344" s="192"/>
      <c r="P344" s="192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40"/>
      <c r="AY344" s="40"/>
      <c r="AZ344" s="40"/>
      <c r="BA344" s="40"/>
      <c r="BB344" s="40"/>
      <c r="BC344" s="40"/>
      <c r="BD344" s="40"/>
      <c r="BE344" s="40"/>
      <c r="BF344" s="40"/>
      <c r="BG344" s="40"/>
      <c r="BH344" s="40"/>
      <c r="BI344" s="40"/>
      <c r="BJ344" s="40"/>
      <c r="BK344" s="40"/>
      <c r="BL344" s="40"/>
      <c r="BM344" s="40"/>
      <c r="BN344" s="40"/>
      <c r="BO344" s="40"/>
      <c r="BP344" s="40"/>
      <c r="BQ344" s="40"/>
      <c r="BR344" s="40"/>
      <c r="BS344" s="40"/>
      <c r="BT344" s="40"/>
      <c r="BU344" s="40"/>
      <c r="BV344" s="40"/>
      <c r="BW344" s="40"/>
      <c r="BX344" s="40"/>
      <c r="BY344" s="40"/>
      <c r="BZ344" s="40"/>
      <c r="CA344" s="40"/>
      <c r="CB344" s="40"/>
      <c r="CC344" s="40"/>
      <c r="CD344" s="40"/>
      <c r="CE344" s="40"/>
      <c r="CF344" s="40"/>
      <c r="CG344" s="40"/>
      <c r="CH344" s="40"/>
      <c r="CI344" s="40"/>
      <c r="CJ344" s="40"/>
      <c r="CK344" s="40"/>
      <c r="CL344" s="40"/>
      <c r="CM344" s="40"/>
      <c r="CN344" s="40"/>
      <c r="CO344" s="40"/>
      <c r="CP344" s="40"/>
      <c r="CQ344" s="40"/>
      <c r="CR344" s="40"/>
      <c r="CS344" s="40"/>
    </row>
    <row r="345" spans="1:97">
      <c r="A345" s="397"/>
      <c r="B345" s="397"/>
      <c r="C345" s="397"/>
      <c r="D345" s="397"/>
      <c r="E345" s="397"/>
      <c r="F345" s="397"/>
      <c r="G345" s="180"/>
      <c r="H345" s="46"/>
      <c r="I345" s="53"/>
      <c r="J345" s="53"/>
      <c r="K345" s="192"/>
      <c r="L345" s="192"/>
      <c r="M345" s="192"/>
      <c r="N345" s="192"/>
      <c r="O345" s="192"/>
      <c r="P345" s="192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  <c r="AX345" s="40"/>
      <c r="AY345" s="40"/>
      <c r="AZ345" s="40"/>
      <c r="BA345" s="40"/>
      <c r="BB345" s="40"/>
      <c r="BC345" s="40"/>
      <c r="BD345" s="40"/>
      <c r="BE345" s="40"/>
      <c r="BF345" s="40"/>
      <c r="BG345" s="40"/>
      <c r="BH345" s="40"/>
      <c r="BI345" s="40"/>
      <c r="BJ345" s="40"/>
      <c r="BK345" s="40"/>
      <c r="BL345" s="40"/>
      <c r="BM345" s="40"/>
      <c r="BN345" s="40"/>
      <c r="BO345" s="40"/>
      <c r="BP345" s="40"/>
      <c r="BQ345" s="40"/>
      <c r="BR345" s="40"/>
      <c r="BS345" s="40"/>
      <c r="BT345" s="40"/>
      <c r="BU345" s="40"/>
      <c r="BV345" s="40"/>
      <c r="BW345" s="40"/>
      <c r="BX345" s="40"/>
      <c r="BY345" s="40"/>
      <c r="BZ345" s="40"/>
      <c r="CA345" s="40"/>
      <c r="CB345" s="40"/>
      <c r="CC345" s="40"/>
      <c r="CD345" s="40"/>
      <c r="CE345" s="40"/>
      <c r="CF345" s="40"/>
      <c r="CG345" s="40"/>
      <c r="CH345" s="40"/>
      <c r="CI345" s="40"/>
      <c r="CJ345" s="40"/>
      <c r="CK345" s="40"/>
      <c r="CL345" s="40"/>
      <c r="CM345" s="40"/>
      <c r="CN345" s="40"/>
      <c r="CO345" s="40"/>
      <c r="CP345" s="40"/>
      <c r="CQ345" s="40"/>
      <c r="CR345" s="40"/>
      <c r="CS345" s="40"/>
    </row>
    <row r="346" spans="1:97">
      <c r="A346" s="397"/>
      <c r="B346" s="397"/>
      <c r="C346" s="397"/>
      <c r="D346" s="397"/>
      <c r="E346" s="397"/>
      <c r="F346" s="397"/>
      <c r="G346" s="180"/>
      <c r="H346" s="46"/>
      <c r="I346" s="53"/>
      <c r="J346" s="53"/>
      <c r="K346" s="192"/>
      <c r="L346" s="192"/>
      <c r="M346" s="192"/>
      <c r="N346" s="192"/>
      <c r="O346" s="192"/>
      <c r="P346" s="192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AZ346" s="40"/>
      <c r="BA346" s="40"/>
      <c r="BB346" s="40"/>
      <c r="BC346" s="40"/>
      <c r="BD346" s="40"/>
      <c r="BE346" s="40"/>
      <c r="BF346" s="40"/>
      <c r="BG346" s="40"/>
      <c r="BH346" s="40"/>
      <c r="BI346" s="40"/>
      <c r="BJ346" s="40"/>
      <c r="BK346" s="40"/>
      <c r="BL346" s="40"/>
      <c r="BM346" s="40"/>
      <c r="BN346" s="40"/>
      <c r="BO346" s="40"/>
      <c r="BP346" s="40"/>
      <c r="BQ346" s="40"/>
      <c r="BR346" s="40"/>
      <c r="BS346" s="40"/>
      <c r="BT346" s="40"/>
      <c r="BU346" s="40"/>
      <c r="BV346" s="40"/>
      <c r="BW346" s="40"/>
      <c r="BX346" s="40"/>
      <c r="BY346" s="40"/>
      <c r="BZ346" s="40"/>
      <c r="CA346" s="40"/>
      <c r="CB346" s="40"/>
      <c r="CC346" s="40"/>
      <c r="CD346" s="40"/>
      <c r="CE346" s="40"/>
      <c r="CF346" s="40"/>
      <c r="CG346" s="40"/>
      <c r="CH346" s="40"/>
      <c r="CI346" s="40"/>
      <c r="CJ346" s="40"/>
      <c r="CK346" s="40"/>
      <c r="CL346" s="40"/>
      <c r="CM346" s="40"/>
      <c r="CN346" s="40"/>
      <c r="CO346" s="40"/>
      <c r="CP346" s="40"/>
      <c r="CQ346" s="40"/>
      <c r="CR346" s="40"/>
      <c r="CS346" s="40"/>
    </row>
    <row r="347" spans="1:97">
      <c r="A347" s="397"/>
      <c r="B347" s="397"/>
      <c r="C347" s="397"/>
      <c r="D347" s="397"/>
      <c r="E347" s="397"/>
      <c r="F347" s="397"/>
      <c r="G347" s="180"/>
      <c r="H347" s="46"/>
      <c r="I347" s="53"/>
      <c r="J347" s="53"/>
      <c r="K347" s="192"/>
      <c r="L347" s="192"/>
      <c r="M347" s="192"/>
      <c r="N347" s="192"/>
      <c r="O347" s="192"/>
      <c r="P347" s="192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  <c r="AX347" s="40"/>
      <c r="AY347" s="40"/>
      <c r="AZ347" s="40"/>
      <c r="BA347" s="40"/>
      <c r="BB347" s="40"/>
      <c r="BC347" s="40"/>
      <c r="BD347" s="40"/>
      <c r="BE347" s="40"/>
      <c r="BF347" s="40"/>
      <c r="BG347" s="40"/>
      <c r="BH347" s="40"/>
      <c r="BI347" s="40"/>
      <c r="BJ347" s="40"/>
      <c r="BK347" s="40"/>
      <c r="BL347" s="40"/>
      <c r="BM347" s="40"/>
      <c r="BN347" s="40"/>
      <c r="BO347" s="40"/>
      <c r="BP347" s="40"/>
      <c r="BQ347" s="40"/>
      <c r="BR347" s="40"/>
      <c r="BS347" s="40"/>
      <c r="BT347" s="40"/>
      <c r="BU347" s="40"/>
      <c r="BV347" s="40"/>
      <c r="BW347" s="40"/>
      <c r="BX347" s="40"/>
      <c r="BY347" s="40"/>
      <c r="BZ347" s="40"/>
      <c r="CA347" s="40"/>
      <c r="CB347" s="40"/>
      <c r="CC347" s="40"/>
      <c r="CD347" s="40"/>
      <c r="CE347" s="40"/>
      <c r="CF347" s="40"/>
      <c r="CG347" s="40"/>
      <c r="CH347" s="40"/>
      <c r="CI347" s="40"/>
      <c r="CJ347" s="40"/>
      <c r="CK347" s="40"/>
      <c r="CL347" s="40"/>
      <c r="CM347" s="40"/>
      <c r="CN347" s="40"/>
      <c r="CO347" s="40"/>
      <c r="CP347" s="40"/>
      <c r="CQ347" s="40"/>
      <c r="CR347" s="40"/>
      <c r="CS347" s="40"/>
    </row>
    <row r="348" spans="1:97">
      <c r="A348" s="397"/>
      <c r="B348" s="397"/>
      <c r="C348" s="397"/>
      <c r="D348" s="397"/>
      <c r="E348" s="397"/>
      <c r="F348" s="397"/>
      <c r="G348" s="180"/>
      <c r="H348" s="46"/>
      <c r="I348" s="53"/>
      <c r="J348" s="53"/>
      <c r="K348" s="192"/>
      <c r="L348" s="192"/>
      <c r="M348" s="192"/>
      <c r="N348" s="192"/>
      <c r="O348" s="192"/>
      <c r="P348" s="192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0"/>
      <c r="AZ348" s="40"/>
      <c r="BA348" s="40"/>
      <c r="BB348" s="40"/>
      <c r="BC348" s="40"/>
      <c r="BD348" s="40"/>
      <c r="BE348" s="40"/>
      <c r="BF348" s="40"/>
      <c r="BG348" s="40"/>
      <c r="BH348" s="40"/>
      <c r="BI348" s="40"/>
      <c r="BJ348" s="40"/>
      <c r="BK348" s="40"/>
      <c r="BL348" s="40"/>
      <c r="BM348" s="40"/>
      <c r="BN348" s="40"/>
      <c r="BO348" s="40"/>
      <c r="BP348" s="40"/>
      <c r="BQ348" s="40"/>
      <c r="BR348" s="40"/>
      <c r="BS348" s="40"/>
      <c r="BT348" s="40"/>
      <c r="BU348" s="40"/>
      <c r="BV348" s="40"/>
      <c r="BW348" s="40"/>
      <c r="BX348" s="40"/>
      <c r="BY348" s="40"/>
      <c r="BZ348" s="40"/>
      <c r="CA348" s="40"/>
      <c r="CB348" s="40"/>
      <c r="CC348" s="40"/>
      <c r="CD348" s="40"/>
      <c r="CE348" s="40"/>
      <c r="CF348" s="40"/>
      <c r="CG348" s="40"/>
      <c r="CH348" s="40"/>
      <c r="CI348" s="40"/>
      <c r="CJ348" s="40"/>
      <c r="CK348" s="40"/>
      <c r="CL348" s="40"/>
      <c r="CM348" s="40"/>
      <c r="CN348" s="40"/>
      <c r="CO348" s="40"/>
      <c r="CP348" s="40"/>
      <c r="CQ348" s="40"/>
      <c r="CR348" s="40"/>
      <c r="CS348" s="40"/>
    </row>
    <row r="349" spans="1:97">
      <c r="A349" s="397"/>
      <c r="B349" s="397"/>
      <c r="C349" s="397"/>
      <c r="D349" s="397"/>
      <c r="E349" s="397"/>
      <c r="F349" s="397"/>
      <c r="G349" s="180"/>
      <c r="H349" s="46"/>
      <c r="I349" s="53"/>
      <c r="J349" s="53"/>
      <c r="K349" s="192"/>
      <c r="L349" s="192"/>
      <c r="M349" s="192"/>
      <c r="N349" s="192"/>
      <c r="O349" s="192"/>
      <c r="P349" s="192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</row>
    <row r="350" spans="1:97">
      <c r="A350" s="397"/>
      <c r="B350" s="397"/>
      <c r="C350" s="397"/>
      <c r="D350" s="397"/>
      <c r="E350" s="397"/>
      <c r="F350" s="397"/>
      <c r="G350" s="180"/>
      <c r="H350" s="46"/>
      <c r="I350" s="53"/>
      <c r="J350" s="53"/>
      <c r="K350" s="192"/>
      <c r="L350" s="192"/>
      <c r="M350" s="192"/>
      <c r="N350" s="192"/>
      <c r="O350" s="192"/>
      <c r="P350" s="192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0"/>
      <c r="AZ350" s="40"/>
      <c r="BA350" s="40"/>
      <c r="BB350" s="40"/>
      <c r="BC350" s="40"/>
      <c r="BD350" s="40"/>
      <c r="BE350" s="40"/>
      <c r="BF350" s="40"/>
      <c r="BG350" s="40"/>
      <c r="BH350" s="40"/>
      <c r="BI350" s="40"/>
      <c r="BJ350" s="40"/>
      <c r="BK350" s="40"/>
      <c r="BL350" s="40"/>
      <c r="BM350" s="40"/>
      <c r="BN350" s="40"/>
      <c r="BO350" s="40"/>
      <c r="BP350" s="40"/>
      <c r="BQ350" s="40"/>
      <c r="BR350" s="40"/>
      <c r="BS350" s="40"/>
      <c r="BT350" s="40"/>
      <c r="BU350" s="40"/>
      <c r="BV350" s="40"/>
      <c r="BW350" s="40"/>
      <c r="BX350" s="40"/>
      <c r="BY350" s="40"/>
      <c r="BZ350" s="40"/>
      <c r="CA350" s="40"/>
      <c r="CB350" s="40"/>
      <c r="CC350" s="40"/>
      <c r="CD350" s="40"/>
      <c r="CE350" s="40"/>
      <c r="CF350" s="40"/>
      <c r="CG350" s="40"/>
      <c r="CH350" s="40"/>
      <c r="CI350" s="40"/>
      <c r="CJ350" s="40"/>
      <c r="CK350" s="40"/>
      <c r="CL350" s="40"/>
      <c r="CM350" s="40"/>
      <c r="CN350" s="40"/>
      <c r="CO350" s="40"/>
      <c r="CP350" s="40"/>
      <c r="CQ350" s="40"/>
      <c r="CR350" s="40"/>
      <c r="CS350" s="40"/>
    </row>
    <row r="351" spans="1:97">
      <c r="A351" s="397"/>
      <c r="B351" s="397"/>
      <c r="C351" s="397"/>
      <c r="D351" s="397"/>
      <c r="E351" s="397"/>
      <c r="F351" s="397"/>
      <c r="G351" s="180"/>
      <c r="H351" s="46"/>
      <c r="I351" s="53"/>
      <c r="J351" s="53"/>
      <c r="K351" s="192"/>
      <c r="L351" s="192"/>
      <c r="M351" s="192"/>
      <c r="N351" s="192"/>
      <c r="O351" s="192"/>
      <c r="P351" s="192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  <c r="AX351" s="40"/>
      <c r="AY351" s="40"/>
      <c r="AZ351" s="40"/>
      <c r="BA351" s="40"/>
      <c r="BB351" s="40"/>
      <c r="BC351" s="40"/>
      <c r="BD351" s="40"/>
      <c r="BE351" s="40"/>
      <c r="BF351" s="40"/>
      <c r="BG351" s="40"/>
      <c r="BH351" s="40"/>
      <c r="BI351" s="40"/>
      <c r="BJ351" s="40"/>
      <c r="BK351" s="40"/>
      <c r="BL351" s="40"/>
      <c r="BM351" s="40"/>
      <c r="BN351" s="40"/>
      <c r="BO351" s="40"/>
      <c r="BP351" s="40"/>
      <c r="BQ351" s="40"/>
      <c r="BR351" s="40"/>
      <c r="BS351" s="40"/>
      <c r="BT351" s="40"/>
      <c r="BU351" s="40"/>
      <c r="BV351" s="40"/>
      <c r="BW351" s="40"/>
      <c r="BX351" s="40"/>
      <c r="BY351" s="40"/>
      <c r="BZ351" s="40"/>
      <c r="CA351" s="40"/>
      <c r="CB351" s="40"/>
      <c r="CC351" s="40"/>
      <c r="CD351" s="40"/>
      <c r="CE351" s="40"/>
      <c r="CF351" s="40"/>
      <c r="CG351" s="40"/>
      <c r="CH351" s="40"/>
      <c r="CI351" s="40"/>
      <c r="CJ351" s="40"/>
      <c r="CK351" s="40"/>
      <c r="CL351" s="40"/>
      <c r="CM351" s="40"/>
      <c r="CN351" s="40"/>
      <c r="CO351" s="40"/>
      <c r="CP351" s="40"/>
      <c r="CQ351" s="40"/>
      <c r="CR351" s="40"/>
      <c r="CS351" s="40"/>
    </row>
    <row r="352" spans="1:97">
      <c r="A352" s="397"/>
      <c r="B352" s="397"/>
      <c r="C352" s="397"/>
      <c r="D352" s="397"/>
      <c r="E352" s="397"/>
      <c r="F352" s="397"/>
      <c r="G352" s="180"/>
      <c r="H352" s="46"/>
      <c r="I352" s="53"/>
      <c r="J352" s="53"/>
      <c r="K352" s="192"/>
      <c r="L352" s="192"/>
      <c r="M352" s="192"/>
      <c r="N352" s="192"/>
      <c r="O352" s="192"/>
      <c r="P352" s="192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40"/>
      <c r="AY352" s="40"/>
      <c r="AZ352" s="40"/>
      <c r="BA352" s="40"/>
      <c r="BB352" s="40"/>
      <c r="BC352" s="40"/>
      <c r="BD352" s="40"/>
      <c r="BE352" s="40"/>
      <c r="BF352" s="40"/>
      <c r="BG352" s="40"/>
      <c r="BH352" s="40"/>
      <c r="BI352" s="40"/>
      <c r="BJ352" s="40"/>
      <c r="BK352" s="40"/>
      <c r="BL352" s="40"/>
      <c r="BM352" s="40"/>
      <c r="BN352" s="40"/>
      <c r="BO352" s="40"/>
      <c r="BP352" s="40"/>
      <c r="BQ352" s="40"/>
      <c r="BR352" s="40"/>
      <c r="BS352" s="40"/>
      <c r="BT352" s="40"/>
      <c r="BU352" s="40"/>
      <c r="BV352" s="40"/>
      <c r="BW352" s="40"/>
      <c r="BX352" s="40"/>
      <c r="BY352" s="40"/>
      <c r="BZ352" s="40"/>
      <c r="CA352" s="40"/>
      <c r="CB352" s="40"/>
      <c r="CC352" s="40"/>
      <c r="CD352" s="40"/>
      <c r="CE352" s="40"/>
      <c r="CF352" s="40"/>
      <c r="CG352" s="40"/>
      <c r="CH352" s="40"/>
      <c r="CI352" s="40"/>
      <c r="CJ352" s="40"/>
      <c r="CK352" s="40"/>
      <c r="CL352" s="40"/>
      <c r="CM352" s="40"/>
      <c r="CN352" s="40"/>
      <c r="CO352" s="40"/>
      <c r="CP352" s="40"/>
      <c r="CQ352" s="40"/>
      <c r="CR352" s="40"/>
      <c r="CS352" s="40"/>
    </row>
    <row r="353" spans="1:97">
      <c r="A353" s="397"/>
      <c r="B353" s="397"/>
      <c r="C353" s="397"/>
      <c r="D353" s="397"/>
      <c r="E353" s="397"/>
      <c r="F353" s="397"/>
      <c r="G353" s="180"/>
      <c r="H353" s="46"/>
      <c r="I353" s="53"/>
      <c r="J353" s="53"/>
      <c r="K353" s="192"/>
      <c r="L353" s="192"/>
      <c r="M353" s="192"/>
      <c r="N353" s="192"/>
      <c r="O353" s="192"/>
      <c r="P353" s="192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  <c r="AX353" s="40"/>
      <c r="AY353" s="40"/>
      <c r="AZ353" s="40"/>
      <c r="BA353" s="40"/>
      <c r="BB353" s="40"/>
      <c r="BC353" s="40"/>
      <c r="BD353" s="40"/>
      <c r="BE353" s="40"/>
      <c r="BF353" s="40"/>
      <c r="BG353" s="40"/>
      <c r="BH353" s="40"/>
      <c r="BI353" s="40"/>
      <c r="BJ353" s="40"/>
      <c r="BK353" s="40"/>
      <c r="BL353" s="40"/>
      <c r="BM353" s="40"/>
      <c r="BN353" s="40"/>
      <c r="BO353" s="40"/>
      <c r="BP353" s="40"/>
      <c r="BQ353" s="40"/>
      <c r="BR353" s="40"/>
      <c r="BS353" s="40"/>
      <c r="BT353" s="40"/>
      <c r="BU353" s="40"/>
      <c r="BV353" s="40"/>
      <c r="BW353" s="40"/>
      <c r="BX353" s="40"/>
      <c r="BY353" s="40"/>
      <c r="BZ353" s="40"/>
      <c r="CA353" s="40"/>
      <c r="CB353" s="40"/>
      <c r="CC353" s="40"/>
      <c r="CD353" s="40"/>
      <c r="CE353" s="40"/>
      <c r="CF353" s="40"/>
      <c r="CG353" s="40"/>
      <c r="CH353" s="40"/>
      <c r="CI353" s="40"/>
      <c r="CJ353" s="40"/>
      <c r="CK353" s="40"/>
      <c r="CL353" s="40"/>
      <c r="CM353" s="40"/>
      <c r="CN353" s="40"/>
      <c r="CO353" s="40"/>
      <c r="CP353" s="40"/>
      <c r="CQ353" s="40"/>
      <c r="CR353" s="40"/>
      <c r="CS353" s="40"/>
    </row>
    <row r="354" spans="1:97">
      <c r="A354" s="397"/>
      <c r="B354" s="397"/>
      <c r="C354" s="397"/>
      <c r="D354" s="397"/>
      <c r="E354" s="397"/>
      <c r="F354" s="397"/>
      <c r="G354" s="180"/>
      <c r="H354" s="46"/>
      <c r="I354" s="53"/>
      <c r="J354" s="53"/>
      <c r="K354" s="192"/>
      <c r="L354" s="192"/>
      <c r="M354" s="192"/>
      <c r="N354" s="192"/>
      <c r="O354" s="192"/>
      <c r="P354" s="192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AZ354" s="40"/>
      <c r="BA354" s="40"/>
      <c r="BB354" s="40"/>
      <c r="BC354" s="40"/>
      <c r="BD354" s="40"/>
      <c r="BE354" s="40"/>
      <c r="BF354" s="40"/>
      <c r="BG354" s="40"/>
      <c r="BH354" s="40"/>
      <c r="BI354" s="40"/>
      <c r="BJ354" s="40"/>
      <c r="BK354" s="40"/>
      <c r="BL354" s="40"/>
      <c r="BM354" s="40"/>
      <c r="BN354" s="40"/>
      <c r="BO354" s="40"/>
      <c r="BP354" s="40"/>
      <c r="BQ354" s="40"/>
      <c r="BR354" s="40"/>
      <c r="BS354" s="40"/>
      <c r="BT354" s="40"/>
      <c r="BU354" s="40"/>
      <c r="BV354" s="40"/>
      <c r="BW354" s="40"/>
      <c r="BX354" s="40"/>
      <c r="BY354" s="40"/>
      <c r="BZ354" s="40"/>
      <c r="CA354" s="40"/>
      <c r="CB354" s="40"/>
      <c r="CC354" s="40"/>
      <c r="CD354" s="40"/>
      <c r="CE354" s="40"/>
      <c r="CF354" s="40"/>
      <c r="CG354" s="40"/>
      <c r="CH354" s="40"/>
      <c r="CI354" s="40"/>
      <c r="CJ354" s="40"/>
      <c r="CK354" s="40"/>
      <c r="CL354" s="40"/>
      <c r="CM354" s="40"/>
      <c r="CN354" s="40"/>
      <c r="CO354" s="40"/>
      <c r="CP354" s="40"/>
      <c r="CQ354" s="40"/>
      <c r="CR354" s="40"/>
      <c r="CS354" s="40"/>
    </row>
    <row r="355" spans="1:97">
      <c r="A355" s="397"/>
      <c r="B355" s="397"/>
      <c r="C355" s="397"/>
      <c r="D355" s="397"/>
      <c r="E355" s="397"/>
      <c r="F355" s="397"/>
      <c r="G355" s="180"/>
      <c r="H355" s="46"/>
      <c r="I355" s="53"/>
      <c r="J355" s="53"/>
      <c r="K355" s="192"/>
      <c r="L355" s="192"/>
      <c r="M355" s="192"/>
      <c r="N355" s="192"/>
      <c r="O355" s="192"/>
      <c r="P355" s="192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40"/>
      <c r="AX355" s="40"/>
      <c r="AY355" s="40"/>
      <c r="AZ355" s="40"/>
      <c r="BA355" s="40"/>
      <c r="BB355" s="40"/>
      <c r="BC355" s="40"/>
      <c r="BD355" s="40"/>
      <c r="BE355" s="40"/>
      <c r="BF355" s="40"/>
      <c r="BG355" s="40"/>
      <c r="BH355" s="40"/>
      <c r="BI355" s="40"/>
      <c r="BJ355" s="40"/>
      <c r="BK355" s="40"/>
      <c r="BL355" s="40"/>
      <c r="BM355" s="40"/>
      <c r="BN355" s="40"/>
      <c r="BO355" s="40"/>
      <c r="BP355" s="40"/>
      <c r="BQ355" s="40"/>
      <c r="BR355" s="40"/>
      <c r="BS355" s="40"/>
      <c r="BT355" s="40"/>
      <c r="BU355" s="40"/>
      <c r="BV355" s="40"/>
      <c r="BW355" s="40"/>
      <c r="BX355" s="40"/>
      <c r="BY355" s="40"/>
      <c r="BZ355" s="40"/>
      <c r="CA355" s="40"/>
      <c r="CB355" s="40"/>
      <c r="CC355" s="40"/>
      <c r="CD355" s="40"/>
      <c r="CE355" s="40"/>
      <c r="CF355" s="40"/>
      <c r="CG355" s="40"/>
      <c r="CH355" s="40"/>
      <c r="CI355" s="40"/>
      <c r="CJ355" s="40"/>
      <c r="CK355" s="40"/>
      <c r="CL355" s="40"/>
      <c r="CM355" s="40"/>
      <c r="CN355" s="40"/>
      <c r="CO355" s="40"/>
      <c r="CP355" s="40"/>
      <c r="CQ355" s="40"/>
      <c r="CR355" s="40"/>
      <c r="CS355" s="40"/>
    </row>
    <row r="356" spans="1:97">
      <c r="A356" s="397"/>
      <c r="B356" s="397"/>
      <c r="C356" s="397"/>
      <c r="D356" s="397"/>
      <c r="E356" s="397"/>
      <c r="F356" s="397"/>
      <c r="G356" s="180"/>
      <c r="H356" s="46"/>
      <c r="I356" s="53"/>
      <c r="J356" s="53"/>
      <c r="K356" s="192"/>
      <c r="L356" s="192"/>
      <c r="M356" s="192"/>
      <c r="N356" s="192"/>
      <c r="O356" s="192"/>
      <c r="P356" s="192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  <c r="AX356" s="40"/>
      <c r="AY356" s="40"/>
      <c r="AZ356" s="40"/>
      <c r="BA356" s="40"/>
      <c r="BB356" s="40"/>
      <c r="BC356" s="40"/>
      <c r="BD356" s="40"/>
      <c r="BE356" s="40"/>
      <c r="BF356" s="40"/>
      <c r="BG356" s="40"/>
      <c r="BH356" s="40"/>
      <c r="BI356" s="40"/>
      <c r="BJ356" s="40"/>
      <c r="BK356" s="40"/>
      <c r="BL356" s="40"/>
      <c r="BM356" s="40"/>
      <c r="BN356" s="40"/>
      <c r="BO356" s="40"/>
      <c r="BP356" s="40"/>
      <c r="BQ356" s="40"/>
      <c r="BR356" s="40"/>
      <c r="BS356" s="40"/>
      <c r="BT356" s="40"/>
      <c r="BU356" s="40"/>
      <c r="BV356" s="40"/>
      <c r="BW356" s="40"/>
      <c r="BX356" s="40"/>
      <c r="BY356" s="40"/>
      <c r="BZ356" s="40"/>
      <c r="CA356" s="40"/>
      <c r="CB356" s="40"/>
      <c r="CC356" s="40"/>
      <c r="CD356" s="40"/>
      <c r="CE356" s="40"/>
      <c r="CF356" s="40"/>
      <c r="CG356" s="40"/>
      <c r="CH356" s="40"/>
      <c r="CI356" s="40"/>
      <c r="CJ356" s="40"/>
      <c r="CK356" s="40"/>
      <c r="CL356" s="40"/>
      <c r="CM356" s="40"/>
      <c r="CN356" s="40"/>
      <c r="CO356" s="40"/>
      <c r="CP356" s="40"/>
      <c r="CQ356" s="40"/>
      <c r="CR356" s="40"/>
      <c r="CS356" s="40"/>
    </row>
    <row r="357" spans="1:97">
      <c r="A357" s="397"/>
      <c r="B357" s="397"/>
      <c r="C357" s="397"/>
      <c r="D357" s="397"/>
      <c r="E357" s="397"/>
      <c r="F357" s="397"/>
      <c r="G357" s="180"/>
      <c r="H357" s="46"/>
      <c r="I357" s="53"/>
      <c r="J357" s="53"/>
      <c r="K357" s="192"/>
      <c r="L357" s="192"/>
      <c r="M357" s="192"/>
      <c r="N357" s="192"/>
      <c r="O357" s="192"/>
      <c r="P357" s="192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40"/>
      <c r="AT357" s="40"/>
      <c r="AU357" s="40"/>
      <c r="AV357" s="40"/>
      <c r="AW357" s="40"/>
      <c r="AX357" s="40"/>
      <c r="AY357" s="40"/>
      <c r="AZ357" s="40"/>
      <c r="BA357" s="40"/>
      <c r="BB357" s="40"/>
      <c r="BC357" s="40"/>
      <c r="BD357" s="40"/>
      <c r="BE357" s="40"/>
      <c r="BF357" s="40"/>
      <c r="BG357" s="40"/>
      <c r="BH357" s="40"/>
      <c r="BI357" s="40"/>
      <c r="BJ357" s="40"/>
      <c r="BK357" s="40"/>
      <c r="BL357" s="40"/>
      <c r="BM357" s="40"/>
      <c r="BN357" s="40"/>
      <c r="BO357" s="40"/>
      <c r="BP357" s="40"/>
      <c r="BQ357" s="40"/>
      <c r="BR357" s="40"/>
      <c r="BS357" s="40"/>
      <c r="BT357" s="40"/>
      <c r="BU357" s="40"/>
      <c r="BV357" s="40"/>
      <c r="BW357" s="40"/>
      <c r="BX357" s="40"/>
      <c r="BY357" s="40"/>
      <c r="BZ357" s="40"/>
      <c r="CA357" s="40"/>
      <c r="CB357" s="40"/>
      <c r="CC357" s="40"/>
      <c r="CD357" s="40"/>
      <c r="CE357" s="40"/>
      <c r="CF357" s="40"/>
      <c r="CG357" s="40"/>
      <c r="CH357" s="40"/>
      <c r="CI357" s="40"/>
      <c r="CJ357" s="40"/>
      <c r="CK357" s="40"/>
      <c r="CL357" s="40"/>
      <c r="CM357" s="40"/>
      <c r="CN357" s="40"/>
      <c r="CO357" s="40"/>
      <c r="CP357" s="40"/>
      <c r="CQ357" s="40"/>
      <c r="CR357" s="40"/>
      <c r="CS357" s="40"/>
    </row>
    <row r="358" spans="1:97">
      <c r="A358" s="397"/>
      <c r="B358" s="397"/>
      <c r="C358" s="397"/>
      <c r="D358" s="397"/>
      <c r="E358" s="397"/>
      <c r="F358" s="397"/>
      <c r="G358" s="180"/>
      <c r="H358" s="46"/>
      <c r="I358" s="53"/>
      <c r="J358" s="53"/>
      <c r="K358" s="192"/>
      <c r="L358" s="192"/>
      <c r="M358" s="192"/>
      <c r="N358" s="192"/>
      <c r="O358" s="192"/>
      <c r="P358" s="192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  <c r="AX358" s="40"/>
      <c r="AY358" s="40"/>
      <c r="AZ358" s="40"/>
      <c r="BA358" s="40"/>
      <c r="BB358" s="40"/>
      <c r="BC358" s="40"/>
      <c r="BD358" s="40"/>
      <c r="BE358" s="40"/>
      <c r="BF358" s="40"/>
      <c r="BG358" s="40"/>
      <c r="BH358" s="40"/>
      <c r="BI358" s="40"/>
      <c r="BJ358" s="40"/>
      <c r="BK358" s="40"/>
      <c r="BL358" s="40"/>
      <c r="BM358" s="40"/>
      <c r="BN358" s="40"/>
      <c r="BO358" s="40"/>
      <c r="BP358" s="40"/>
      <c r="BQ358" s="40"/>
      <c r="BR358" s="40"/>
      <c r="BS358" s="40"/>
      <c r="BT358" s="40"/>
      <c r="BU358" s="40"/>
      <c r="BV358" s="40"/>
      <c r="BW358" s="40"/>
      <c r="BX358" s="40"/>
      <c r="BY358" s="40"/>
      <c r="BZ358" s="40"/>
      <c r="CA358" s="40"/>
      <c r="CB358" s="40"/>
      <c r="CC358" s="40"/>
      <c r="CD358" s="40"/>
      <c r="CE358" s="40"/>
      <c r="CF358" s="40"/>
      <c r="CG358" s="40"/>
      <c r="CH358" s="40"/>
      <c r="CI358" s="40"/>
      <c r="CJ358" s="40"/>
      <c r="CK358" s="40"/>
      <c r="CL358" s="40"/>
      <c r="CM358" s="40"/>
      <c r="CN358" s="40"/>
      <c r="CO358" s="40"/>
      <c r="CP358" s="40"/>
      <c r="CQ358" s="40"/>
      <c r="CR358" s="40"/>
      <c r="CS358" s="40"/>
    </row>
    <row r="359" spans="1:97">
      <c r="A359" s="397"/>
      <c r="B359" s="397"/>
      <c r="C359" s="397"/>
      <c r="D359" s="397"/>
      <c r="E359" s="397"/>
      <c r="F359" s="397"/>
      <c r="G359" s="180"/>
      <c r="H359" s="46"/>
      <c r="I359" s="53"/>
      <c r="J359" s="53"/>
      <c r="K359" s="192"/>
      <c r="L359" s="192"/>
      <c r="M359" s="192"/>
      <c r="N359" s="192"/>
      <c r="O359" s="192"/>
      <c r="P359" s="192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  <c r="AX359" s="40"/>
      <c r="AY359" s="40"/>
      <c r="AZ359" s="40"/>
      <c r="BA359" s="40"/>
      <c r="BB359" s="40"/>
      <c r="BC359" s="40"/>
      <c r="BD359" s="40"/>
      <c r="BE359" s="40"/>
      <c r="BF359" s="40"/>
      <c r="BG359" s="40"/>
      <c r="BH359" s="40"/>
      <c r="BI359" s="40"/>
      <c r="BJ359" s="40"/>
      <c r="BK359" s="40"/>
      <c r="BL359" s="40"/>
      <c r="BM359" s="40"/>
      <c r="BN359" s="40"/>
      <c r="BO359" s="40"/>
      <c r="BP359" s="40"/>
      <c r="BQ359" s="40"/>
      <c r="BR359" s="40"/>
      <c r="BS359" s="40"/>
      <c r="BT359" s="40"/>
      <c r="BU359" s="40"/>
      <c r="BV359" s="40"/>
      <c r="BW359" s="40"/>
      <c r="BX359" s="40"/>
      <c r="BY359" s="40"/>
      <c r="BZ359" s="40"/>
      <c r="CA359" s="40"/>
      <c r="CB359" s="40"/>
      <c r="CC359" s="40"/>
      <c r="CD359" s="40"/>
      <c r="CE359" s="40"/>
      <c r="CF359" s="40"/>
      <c r="CG359" s="40"/>
      <c r="CH359" s="40"/>
      <c r="CI359" s="40"/>
      <c r="CJ359" s="40"/>
      <c r="CK359" s="40"/>
      <c r="CL359" s="40"/>
      <c r="CM359" s="40"/>
      <c r="CN359" s="40"/>
      <c r="CO359" s="40"/>
      <c r="CP359" s="40"/>
      <c r="CQ359" s="40"/>
      <c r="CR359" s="40"/>
      <c r="CS359" s="40"/>
    </row>
    <row r="360" spans="1:97">
      <c r="A360" s="397"/>
      <c r="B360" s="397"/>
      <c r="C360" s="397"/>
      <c r="D360" s="397"/>
      <c r="E360" s="397"/>
      <c r="F360" s="397"/>
      <c r="G360" s="180"/>
      <c r="H360" s="46"/>
      <c r="I360" s="53"/>
      <c r="J360" s="53"/>
      <c r="K360" s="192"/>
      <c r="L360" s="192"/>
      <c r="M360" s="192"/>
      <c r="N360" s="192"/>
      <c r="O360" s="192"/>
      <c r="P360" s="192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/>
      <c r="AW360" s="40"/>
      <c r="AX360" s="40"/>
      <c r="AY360" s="40"/>
      <c r="AZ360" s="40"/>
      <c r="BA360" s="40"/>
      <c r="BB360" s="40"/>
      <c r="BC360" s="40"/>
      <c r="BD360" s="40"/>
      <c r="BE360" s="40"/>
      <c r="BF360" s="40"/>
      <c r="BG360" s="40"/>
      <c r="BH360" s="40"/>
      <c r="BI360" s="40"/>
      <c r="BJ360" s="40"/>
      <c r="BK360" s="40"/>
      <c r="BL360" s="40"/>
      <c r="BM360" s="40"/>
      <c r="BN360" s="40"/>
      <c r="BO360" s="40"/>
      <c r="BP360" s="40"/>
      <c r="BQ360" s="40"/>
      <c r="BR360" s="40"/>
      <c r="BS360" s="40"/>
      <c r="BT360" s="40"/>
      <c r="BU360" s="40"/>
      <c r="BV360" s="40"/>
      <c r="BW360" s="40"/>
      <c r="BX360" s="40"/>
      <c r="BY360" s="40"/>
      <c r="BZ360" s="40"/>
      <c r="CA360" s="40"/>
      <c r="CB360" s="40"/>
      <c r="CC360" s="40"/>
      <c r="CD360" s="40"/>
      <c r="CE360" s="40"/>
      <c r="CF360" s="40"/>
      <c r="CG360" s="40"/>
      <c r="CH360" s="40"/>
      <c r="CI360" s="40"/>
      <c r="CJ360" s="40"/>
      <c r="CK360" s="40"/>
      <c r="CL360" s="40"/>
      <c r="CM360" s="40"/>
      <c r="CN360" s="40"/>
      <c r="CO360" s="40"/>
      <c r="CP360" s="40"/>
      <c r="CQ360" s="40"/>
      <c r="CR360" s="40"/>
      <c r="CS360" s="40"/>
    </row>
    <row r="361" spans="1:97">
      <c r="A361" s="397"/>
      <c r="B361" s="397"/>
      <c r="C361" s="397"/>
      <c r="D361" s="397"/>
      <c r="E361" s="397"/>
      <c r="F361" s="397"/>
      <c r="G361" s="180"/>
      <c r="H361" s="46"/>
      <c r="I361" s="53"/>
      <c r="J361" s="53"/>
      <c r="K361" s="192"/>
      <c r="L361" s="192"/>
      <c r="M361" s="192"/>
      <c r="N361" s="192"/>
      <c r="O361" s="192"/>
      <c r="P361" s="192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40"/>
      <c r="AT361" s="40"/>
      <c r="AU361" s="40"/>
      <c r="AV361" s="40"/>
      <c r="AW361" s="40"/>
      <c r="AX361" s="40"/>
      <c r="AY361" s="40"/>
      <c r="AZ361" s="40"/>
      <c r="BA361" s="40"/>
      <c r="BB361" s="40"/>
      <c r="BC361" s="40"/>
      <c r="BD361" s="40"/>
      <c r="BE361" s="40"/>
      <c r="BF361" s="40"/>
      <c r="BG361" s="40"/>
      <c r="BH361" s="40"/>
      <c r="BI361" s="40"/>
      <c r="BJ361" s="40"/>
      <c r="BK361" s="40"/>
      <c r="BL361" s="40"/>
      <c r="BM361" s="40"/>
      <c r="BN361" s="40"/>
      <c r="BO361" s="40"/>
      <c r="BP361" s="40"/>
      <c r="BQ361" s="40"/>
      <c r="BR361" s="40"/>
      <c r="BS361" s="40"/>
      <c r="BT361" s="40"/>
      <c r="BU361" s="40"/>
      <c r="BV361" s="40"/>
      <c r="BW361" s="40"/>
      <c r="BX361" s="40"/>
      <c r="BY361" s="40"/>
      <c r="BZ361" s="40"/>
      <c r="CA361" s="40"/>
      <c r="CB361" s="40"/>
      <c r="CC361" s="40"/>
      <c r="CD361" s="40"/>
      <c r="CE361" s="40"/>
      <c r="CF361" s="40"/>
      <c r="CG361" s="40"/>
      <c r="CH361" s="40"/>
      <c r="CI361" s="40"/>
      <c r="CJ361" s="40"/>
      <c r="CK361" s="40"/>
      <c r="CL361" s="40"/>
      <c r="CM361" s="40"/>
      <c r="CN361" s="40"/>
      <c r="CO361" s="40"/>
      <c r="CP361" s="40"/>
      <c r="CQ361" s="40"/>
      <c r="CR361" s="40"/>
      <c r="CS361" s="40"/>
    </row>
    <row r="362" spans="1:97">
      <c r="A362" s="397"/>
      <c r="B362" s="397"/>
      <c r="C362" s="397"/>
      <c r="D362" s="397"/>
      <c r="E362" s="397"/>
      <c r="F362" s="397"/>
      <c r="G362" s="180"/>
      <c r="H362" s="46"/>
      <c r="I362" s="53"/>
      <c r="J362" s="53"/>
      <c r="K362" s="192"/>
      <c r="L362" s="192"/>
      <c r="M362" s="192"/>
      <c r="N362" s="192"/>
      <c r="O362" s="192"/>
      <c r="P362" s="192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  <c r="AX362" s="40"/>
      <c r="AY362" s="40"/>
      <c r="AZ362" s="40"/>
      <c r="BA362" s="40"/>
      <c r="BB362" s="40"/>
      <c r="BC362" s="40"/>
      <c r="BD362" s="40"/>
      <c r="BE362" s="40"/>
      <c r="BF362" s="40"/>
      <c r="BG362" s="40"/>
      <c r="BH362" s="40"/>
      <c r="BI362" s="40"/>
      <c r="BJ362" s="40"/>
      <c r="BK362" s="40"/>
      <c r="BL362" s="40"/>
      <c r="BM362" s="40"/>
      <c r="BN362" s="40"/>
      <c r="BO362" s="40"/>
      <c r="BP362" s="40"/>
      <c r="BQ362" s="40"/>
      <c r="BR362" s="40"/>
      <c r="BS362" s="40"/>
      <c r="BT362" s="40"/>
      <c r="BU362" s="40"/>
      <c r="BV362" s="40"/>
      <c r="BW362" s="40"/>
      <c r="BX362" s="40"/>
      <c r="BY362" s="40"/>
      <c r="BZ362" s="40"/>
      <c r="CA362" s="40"/>
      <c r="CB362" s="40"/>
      <c r="CC362" s="40"/>
      <c r="CD362" s="40"/>
      <c r="CE362" s="40"/>
      <c r="CF362" s="40"/>
      <c r="CG362" s="40"/>
      <c r="CH362" s="40"/>
      <c r="CI362" s="40"/>
      <c r="CJ362" s="40"/>
      <c r="CK362" s="40"/>
      <c r="CL362" s="40"/>
      <c r="CM362" s="40"/>
      <c r="CN362" s="40"/>
      <c r="CO362" s="40"/>
      <c r="CP362" s="40"/>
      <c r="CQ362" s="40"/>
      <c r="CR362" s="40"/>
      <c r="CS362" s="40"/>
    </row>
    <row r="363" spans="1:97">
      <c r="A363" s="397"/>
      <c r="B363" s="397"/>
      <c r="C363" s="397"/>
      <c r="D363" s="397"/>
      <c r="E363" s="397"/>
      <c r="F363" s="397"/>
      <c r="G363" s="180"/>
      <c r="H363" s="46"/>
      <c r="I363" s="53"/>
      <c r="J363" s="53"/>
      <c r="K363" s="192"/>
      <c r="L363" s="192"/>
      <c r="M363" s="192"/>
      <c r="N363" s="192"/>
      <c r="O363" s="192"/>
      <c r="P363" s="192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  <c r="AX363" s="40"/>
      <c r="AY363" s="40"/>
      <c r="AZ363" s="40"/>
      <c r="BA363" s="40"/>
      <c r="BB363" s="40"/>
      <c r="BC363" s="40"/>
      <c r="BD363" s="40"/>
      <c r="BE363" s="40"/>
      <c r="BF363" s="40"/>
      <c r="BG363" s="40"/>
      <c r="BH363" s="40"/>
      <c r="BI363" s="40"/>
      <c r="BJ363" s="40"/>
      <c r="BK363" s="40"/>
      <c r="BL363" s="40"/>
      <c r="BM363" s="40"/>
      <c r="BN363" s="40"/>
      <c r="BO363" s="40"/>
      <c r="BP363" s="40"/>
      <c r="BQ363" s="40"/>
      <c r="BR363" s="40"/>
      <c r="BS363" s="40"/>
      <c r="BT363" s="40"/>
      <c r="BU363" s="40"/>
      <c r="BV363" s="40"/>
      <c r="BW363" s="40"/>
      <c r="BX363" s="40"/>
      <c r="BY363" s="40"/>
      <c r="BZ363" s="40"/>
      <c r="CA363" s="40"/>
      <c r="CB363" s="40"/>
      <c r="CC363" s="40"/>
      <c r="CD363" s="40"/>
      <c r="CE363" s="40"/>
      <c r="CF363" s="40"/>
      <c r="CG363" s="40"/>
      <c r="CH363" s="40"/>
      <c r="CI363" s="40"/>
      <c r="CJ363" s="40"/>
      <c r="CK363" s="40"/>
      <c r="CL363" s="40"/>
      <c r="CM363" s="40"/>
      <c r="CN363" s="40"/>
      <c r="CO363" s="40"/>
      <c r="CP363" s="40"/>
      <c r="CQ363" s="40"/>
      <c r="CR363" s="40"/>
      <c r="CS363" s="40"/>
    </row>
    <row r="364" spans="1:97">
      <c r="A364" s="397"/>
      <c r="B364" s="397"/>
      <c r="C364" s="397"/>
      <c r="D364" s="397"/>
      <c r="E364" s="397"/>
      <c r="F364" s="397"/>
      <c r="G364" s="180"/>
      <c r="H364" s="46"/>
      <c r="I364" s="53"/>
      <c r="J364" s="53"/>
      <c r="K364" s="192"/>
      <c r="L364" s="192"/>
      <c r="M364" s="192"/>
      <c r="N364" s="192"/>
      <c r="O364" s="192"/>
      <c r="P364" s="192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AZ364" s="40"/>
      <c r="BA364" s="40"/>
      <c r="BB364" s="40"/>
      <c r="BC364" s="40"/>
      <c r="BD364" s="40"/>
      <c r="BE364" s="40"/>
      <c r="BF364" s="40"/>
      <c r="BG364" s="40"/>
      <c r="BH364" s="40"/>
      <c r="BI364" s="40"/>
      <c r="BJ364" s="40"/>
      <c r="BK364" s="40"/>
      <c r="BL364" s="40"/>
      <c r="BM364" s="40"/>
      <c r="BN364" s="40"/>
      <c r="BO364" s="40"/>
      <c r="BP364" s="40"/>
      <c r="BQ364" s="40"/>
      <c r="BR364" s="40"/>
      <c r="BS364" s="40"/>
      <c r="BT364" s="40"/>
      <c r="BU364" s="40"/>
      <c r="BV364" s="40"/>
      <c r="BW364" s="40"/>
      <c r="BX364" s="40"/>
      <c r="BY364" s="40"/>
      <c r="BZ364" s="40"/>
      <c r="CA364" s="40"/>
      <c r="CB364" s="40"/>
      <c r="CC364" s="40"/>
      <c r="CD364" s="40"/>
      <c r="CE364" s="40"/>
      <c r="CF364" s="40"/>
      <c r="CG364" s="40"/>
      <c r="CH364" s="40"/>
      <c r="CI364" s="40"/>
      <c r="CJ364" s="40"/>
      <c r="CK364" s="40"/>
      <c r="CL364" s="40"/>
      <c r="CM364" s="40"/>
      <c r="CN364" s="40"/>
      <c r="CO364" s="40"/>
      <c r="CP364" s="40"/>
      <c r="CQ364" s="40"/>
      <c r="CR364" s="40"/>
      <c r="CS364" s="40"/>
    </row>
    <row r="365" spans="1:97">
      <c r="A365" s="397"/>
      <c r="B365" s="397"/>
      <c r="C365" s="397"/>
      <c r="D365" s="397"/>
      <c r="E365" s="397"/>
      <c r="F365" s="397"/>
      <c r="G365" s="180"/>
      <c r="H365" s="46"/>
      <c r="I365" s="53"/>
      <c r="J365" s="53"/>
      <c r="K365" s="192"/>
      <c r="L365" s="192"/>
      <c r="M365" s="192"/>
      <c r="N365" s="192"/>
      <c r="O365" s="192"/>
      <c r="P365" s="192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  <c r="AX365" s="40"/>
      <c r="AY365" s="40"/>
      <c r="AZ365" s="40"/>
      <c r="BA365" s="40"/>
      <c r="BB365" s="40"/>
      <c r="BC365" s="40"/>
      <c r="BD365" s="40"/>
      <c r="BE365" s="40"/>
      <c r="BF365" s="40"/>
      <c r="BG365" s="40"/>
      <c r="BH365" s="40"/>
      <c r="BI365" s="40"/>
      <c r="BJ365" s="40"/>
      <c r="BK365" s="40"/>
      <c r="BL365" s="40"/>
      <c r="BM365" s="40"/>
      <c r="BN365" s="40"/>
      <c r="BO365" s="40"/>
      <c r="BP365" s="40"/>
      <c r="BQ365" s="40"/>
      <c r="BR365" s="40"/>
      <c r="BS365" s="40"/>
      <c r="BT365" s="40"/>
      <c r="BU365" s="40"/>
      <c r="BV365" s="40"/>
      <c r="BW365" s="40"/>
      <c r="BX365" s="40"/>
      <c r="BY365" s="40"/>
      <c r="BZ365" s="40"/>
      <c r="CA365" s="40"/>
      <c r="CB365" s="40"/>
      <c r="CC365" s="40"/>
      <c r="CD365" s="40"/>
      <c r="CE365" s="40"/>
      <c r="CF365" s="40"/>
      <c r="CG365" s="40"/>
      <c r="CH365" s="40"/>
      <c r="CI365" s="40"/>
      <c r="CJ365" s="40"/>
      <c r="CK365" s="40"/>
      <c r="CL365" s="40"/>
      <c r="CM365" s="40"/>
      <c r="CN365" s="40"/>
      <c r="CO365" s="40"/>
      <c r="CP365" s="40"/>
      <c r="CQ365" s="40"/>
      <c r="CR365" s="40"/>
      <c r="CS365" s="40"/>
    </row>
    <row r="366" spans="1:97">
      <c r="A366" s="397"/>
      <c r="B366" s="397"/>
      <c r="C366" s="397"/>
      <c r="D366" s="397"/>
      <c r="E366" s="397"/>
      <c r="F366" s="397"/>
      <c r="G366" s="180"/>
      <c r="H366" s="46"/>
      <c r="I366" s="53"/>
      <c r="J366" s="53"/>
      <c r="K366" s="192"/>
      <c r="L366" s="192"/>
      <c r="M366" s="192"/>
      <c r="N366" s="192"/>
      <c r="O366" s="192"/>
      <c r="P366" s="192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40"/>
      <c r="AY366" s="40"/>
      <c r="AZ366" s="40"/>
      <c r="BA366" s="40"/>
      <c r="BB366" s="40"/>
      <c r="BC366" s="40"/>
      <c r="BD366" s="40"/>
      <c r="BE366" s="40"/>
      <c r="BF366" s="40"/>
      <c r="BG366" s="40"/>
      <c r="BH366" s="40"/>
      <c r="BI366" s="40"/>
      <c r="BJ366" s="40"/>
      <c r="BK366" s="40"/>
      <c r="BL366" s="40"/>
      <c r="BM366" s="40"/>
      <c r="BN366" s="40"/>
      <c r="BO366" s="40"/>
      <c r="BP366" s="40"/>
      <c r="BQ366" s="40"/>
      <c r="BR366" s="40"/>
      <c r="BS366" s="40"/>
      <c r="BT366" s="40"/>
      <c r="BU366" s="40"/>
      <c r="BV366" s="40"/>
      <c r="BW366" s="40"/>
      <c r="BX366" s="40"/>
      <c r="BY366" s="40"/>
      <c r="BZ366" s="40"/>
      <c r="CA366" s="40"/>
      <c r="CB366" s="40"/>
      <c r="CC366" s="40"/>
      <c r="CD366" s="40"/>
      <c r="CE366" s="40"/>
      <c r="CF366" s="40"/>
      <c r="CG366" s="40"/>
      <c r="CH366" s="40"/>
      <c r="CI366" s="40"/>
      <c r="CJ366" s="40"/>
      <c r="CK366" s="40"/>
      <c r="CL366" s="40"/>
      <c r="CM366" s="40"/>
      <c r="CN366" s="40"/>
      <c r="CO366" s="40"/>
      <c r="CP366" s="40"/>
      <c r="CQ366" s="40"/>
      <c r="CR366" s="40"/>
      <c r="CS366" s="40"/>
    </row>
    <row r="367" spans="1:97">
      <c r="A367" s="397"/>
      <c r="B367" s="397"/>
      <c r="C367" s="397"/>
      <c r="D367" s="397"/>
      <c r="E367" s="397"/>
      <c r="F367" s="397"/>
      <c r="G367" s="180"/>
      <c r="H367" s="46"/>
      <c r="I367" s="53"/>
      <c r="J367" s="53"/>
      <c r="K367" s="192"/>
      <c r="L367" s="192"/>
      <c r="M367" s="192"/>
      <c r="N367" s="192"/>
      <c r="O367" s="192"/>
      <c r="P367" s="192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  <c r="AX367" s="40"/>
      <c r="AY367" s="40"/>
      <c r="AZ367" s="40"/>
      <c r="BA367" s="40"/>
      <c r="BB367" s="40"/>
      <c r="BC367" s="40"/>
      <c r="BD367" s="40"/>
      <c r="BE367" s="40"/>
      <c r="BF367" s="40"/>
      <c r="BG367" s="40"/>
      <c r="BH367" s="40"/>
      <c r="BI367" s="40"/>
      <c r="BJ367" s="40"/>
      <c r="BK367" s="40"/>
      <c r="BL367" s="40"/>
      <c r="BM367" s="40"/>
      <c r="BN367" s="40"/>
      <c r="BO367" s="40"/>
      <c r="BP367" s="40"/>
      <c r="BQ367" s="40"/>
      <c r="BR367" s="40"/>
      <c r="BS367" s="40"/>
      <c r="BT367" s="40"/>
      <c r="BU367" s="40"/>
      <c r="BV367" s="40"/>
      <c r="BW367" s="40"/>
      <c r="BX367" s="40"/>
      <c r="BY367" s="40"/>
      <c r="BZ367" s="40"/>
      <c r="CA367" s="40"/>
      <c r="CB367" s="40"/>
      <c r="CC367" s="40"/>
      <c r="CD367" s="40"/>
      <c r="CE367" s="40"/>
      <c r="CF367" s="40"/>
      <c r="CG367" s="40"/>
      <c r="CH367" s="40"/>
      <c r="CI367" s="40"/>
      <c r="CJ367" s="40"/>
      <c r="CK367" s="40"/>
      <c r="CL367" s="40"/>
      <c r="CM367" s="40"/>
      <c r="CN367" s="40"/>
      <c r="CO367" s="40"/>
      <c r="CP367" s="40"/>
      <c r="CQ367" s="40"/>
      <c r="CR367" s="40"/>
      <c r="CS367" s="40"/>
    </row>
    <row r="368" spans="1:97">
      <c r="A368" s="397"/>
      <c r="B368" s="397"/>
      <c r="C368" s="397"/>
      <c r="D368" s="397"/>
      <c r="E368" s="397"/>
      <c r="F368" s="397"/>
      <c r="G368" s="180"/>
      <c r="H368" s="46"/>
      <c r="I368" s="53"/>
      <c r="J368" s="53"/>
      <c r="K368" s="192"/>
      <c r="L368" s="192"/>
      <c r="M368" s="192"/>
      <c r="N368" s="192"/>
      <c r="O368" s="192"/>
      <c r="P368" s="192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40"/>
      <c r="AY368" s="40"/>
      <c r="AZ368" s="40"/>
      <c r="BA368" s="40"/>
      <c r="BB368" s="40"/>
      <c r="BC368" s="40"/>
      <c r="BD368" s="40"/>
      <c r="BE368" s="40"/>
      <c r="BF368" s="40"/>
      <c r="BG368" s="40"/>
      <c r="BH368" s="40"/>
      <c r="BI368" s="40"/>
      <c r="BJ368" s="40"/>
      <c r="BK368" s="40"/>
      <c r="BL368" s="40"/>
      <c r="BM368" s="40"/>
      <c r="BN368" s="40"/>
      <c r="BO368" s="40"/>
      <c r="BP368" s="40"/>
      <c r="BQ368" s="40"/>
      <c r="BR368" s="40"/>
      <c r="BS368" s="40"/>
      <c r="BT368" s="40"/>
      <c r="BU368" s="40"/>
      <c r="BV368" s="40"/>
      <c r="BW368" s="40"/>
      <c r="BX368" s="40"/>
      <c r="BY368" s="40"/>
      <c r="BZ368" s="40"/>
      <c r="CA368" s="40"/>
      <c r="CB368" s="40"/>
      <c r="CC368" s="40"/>
      <c r="CD368" s="40"/>
      <c r="CE368" s="40"/>
      <c r="CF368" s="40"/>
      <c r="CG368" s="40"/>
      <c r="CH368" s="40"/>
      <c r="CI368" s="40"/>
      <c r="CJ368" s="40"/>
      <c r="CK368" s="40"/>
      <c r="CL368" s="40"/>
      <c r="CM368" s="40"/>
      <c r="CN368" s="40"/>
      <c r="CO368" s="40"/>
      <c r="CP368" s="40"/>
      <c r="CQ368" s="40"/>
      <c r="CR368" s="40"/>
      <c r="CS368" s="40"/>
    </row>
    <row r="369" spans="1:97">
      <c r="A369" s="397"/>
      <c r="B369" s="397"/>
      <c r="C369" s="397"/>
      <c r="D369" s="397"/>
      <c r="E369" s="397"/>
      <c r="F369" s="397"/>
      <c r="G369" s="180"/>
      <c r="H369" s="46"/>
      <c r="I369" s="53"/>
      <c r="J369" s="53"/>
      <c r="K369" s="192"/>
      <c r="L369" s="192"/>
      <c r="M369" s="192"/>
      <c r="N369" s="192"/>
      <c r="O369" s="192"/>
      <c r="P369" s="192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40"/>
      <c r="AT369" s="40"/>
      <c r="AU369" s="40"/>
      <c r="AV369" s="40"/>
      <c r="AW369" s="40"/>
      <c r="AX369" s="40"/>
      <c r="AY369" s="40"/>
      <c r="AZ369" s="40"/>
      <c r="BA369" s="40"/>
      <c r="BB369" s="40"/>
      <c r="BC369" s="40"/>
      <c r="BD369" s="40"/>
      <c r="BE369" s="40"/>
      <c r="BF369" s="40"/>
      <c r="BG369" s="40"/>
      <c r="BH369" s="40"/>
      <c r="BI369" s="40"/>
      <c r="BJ369" s="40"/>
      <c r="BK369" s="40"/>
      <c r="BL369" s="40"/>
      <c r="BM369" s="40"/>
      <c r="BN369" s="40"/>
      <c r="BO369" s="40"/>
      <c r="BP369" s="40"/>
      <c r="BQ369" s="40"/>
      <c r="BR369" s="40"/>
      <c r="BS369" s="40"/>
      <c r="BT369" s="40"/>
      <c r="BU369" s="40"/>
      <c r="BV369" s="40"/>
      <c r="BW369" s="40"/>
      <c r="BX369" s="40"/>
      <c r="BY369" s="40"/>
      <c r="BZ369" s="40"/>
      <c r="CA369" s="40"/>
      <c r="CB369" s="40"/>
      <c r="CC369" s="40"/>
      <c r="CD369" s="40"/>
      <c r="CE369" s="40"/>
      <c r="CF369" s="40"/>
      <c r="CG369" s="40"/>
      <c r="CH369" s="40"/>
      <c r="CI369" s="40"/>
      <c r="CJ369" s="40"/>
      <c r="CK369" s="40"/>
      <c r="CL369" s="40"/>
      <c r="CM369" s="40"/>
      <c r="CN369" s="40"/>
      <c r="CO369" s="40"/>
      <c r="CP369" s="40"/>
      <c r="CQ369" s="40"/>
      <c r="CR369" s="40"/>
      <c r="CS369" s="40"/>
    </row>
    <row r="370" spans="1:97">
      <c r="A370" s="397"/>
      <c r="B370" s="397"/>
      <c r="C370" s="397"/>
      <c r="D370" s="397"/>
      <c r="E370" s="397"/>
      <c r="F370" s="397"/>
      <c r="G370" s="180"/>
      <c r="H370" s="46"/>
      <c r="I370" s="53"/>
      <c r="J370" s="53"/>
      <c r="K370" s="192"/>
      <c r="L370" s="192"/>
      <c r="M370" s="192"/>
      <c r="N370" s="192"/>
      <c r="O370" s="192"/>
      <c r="P370" s="192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40"/>
      <c r="AT370" s="40"/>
      <c r="AU370" s="40"/>
      <c r="AV370" s="40"/>
      <c r="AW370" s="40"/>
      <c r="AX370" s="40"/>
      <c r="AY370" s="40"/>
      <c r="AZ370" s="40"/>
      <c r="BA370" s="40"/>
      <c r="BB370" s="40"/>
      <c r="BC370" s="40"/>
      <c r="BD370" s="40"/>
      <c r="BE370" s="40"/>
      <c r="BF370" s="40"/>
      <c r="BG370" s="40"/>
      <c r="BH370" s="40"/>
      <c r="BI370" s="40"/>
      <c r="BJ370" s="40"/>
      <c r="BK370" s="40"/>
      <c r="BL370" s="40"/>
      <c r="BM370" s="40"/>
      <c r="BN370" s="40"/>
      <c r="BO370" s="40"/>
      <c r="BP370" s="40"/>
      <c r="BQ370" s="40"/>
      <c r="BR370" s="40"/>
      <c r="BS370" s="40"/>
      <c r="BT370" s="40"/>
      <c r="BU370" s="40"/>
      <c r="BV370" s="40"/>
      <c r="BW370" s="40"/>
      <c r="BX370" s="40"/>
      <c r="BY370" s="40"/>
      <c r="BZ370" s="40"/>
      <c r="CA370" s="40"/>
      <c r="CB370" s="40"/>
      <c r="CC370" s="40"/>
      <c r="CD370" s="40"/>
      <c r="CE370" s="40"/>
      <c r="CF370" s="40"/>
      <c r="CG370" s="40"/>
      <c r="CH370" s="40"/>
      <c r="CI370" s="40"/>
      <c r="CJ370" s="40"/>
      <c r="CK370" s="40"/>
      <c r="CL370" s="40"/>
      <c r="CM370" s="40"/>
      <c r="CN370" s="40"/>
      <c r="CO370" s="40"/>
      <c r="CP370" s="40"/>
      <c r="CQ370" s="40"/>
      <c r="CR370" s="40"/>
      <c r="CS370" s="40"/>
    </row>
    <row r="371" spans="1:97">
      <c r="A371" s="397"/>
      <c r="B371" s="397"/>
      <c r="C371" s="397"/>
      <c r="D371" s="397"/>
      <c r="E371" s="397"/>
      <c r="F371" s="397"/>
      <c r="G371" s="180"/>
      <c r="H371" s="46"/>
      <c r="I371" s="53"/>
      <c r="J371" s="53"/>
      <c r="K371" s="192"/>
      <c r="L371" s="192"/>
      <c r="M371" s="192"/>
      <c r="N371" s="192"/>
      <c r="O371" s="192"/>
      <c r="P371" s="192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40"/>
      <c r="AT371" s="40"/>
      <c r="AU371" s="40"/>
      <c r="AV371" s="40"/>
      <c r="AW371" s="40"/>
      <c r="AX371" s="40"/>
      <c r="AY371" s="40"/>
      <c r="AZ371" s="40"/>
      <c r="BA371" s="40"/>
      <c r="BB371" s="40"/>
      <c r="BC371" s="40"/>
      <c r="BD371" s="40"/>
      <c r="BE371" s="40"/>
      <c r="BF371" s="40"/>
      <c r="BG371" s="40"/>
      <c r="BH371" s="40"/>
      <c r="BI371" s="40"/>
      <c r="BJ371" s="40"/>
      <c r="BK371" s="40"/>
      <c r="BL371" s="40"/>
      <c r="BM371" s="40"/>
      <c r="BN371" s="40"/>
      <c r="BO371" s="40"/>
      <c r="BP371" s="40"/>
      <c r="BQ371" s="40"/>
      <c r="BR371" s="40"/>
      <c r="BS371" s="40"/>
      <c r="BT371" s="40"/>
      <c r="BU371" s="40"/>
      <c r="BV371" s="40"/>
      <c r="BW371" s="40"/>
      <c r="BX371" s="40"/>
      <c r="BY371" s="40"/>
      <c r="BZ371" s="40"/>
      <c r="CA371" s="40"/>
      <c r="CB371" s="40"/>
      <c r="CC371" s="40"/>
      <c r="CD371" s="40"/>
      <c r="CE371" s="40"/>
      <c r="CF371" s="40"/>
      <c r="CG371" s="40"/>
      <c r="CH371" s="40"/>
      <c r="CI371" s="40"/>
      <c r="CJ371" s="40"/>
      <c r="CK371" s="40"/>
      <c r="CL371" s="40"/>
      <c r="CM371" s="40"/>
      <c r="CN371" s="40"/>
      <c r="CO371" s="40"/>
      <c r="CP371" s="40"/>
      <c r="CQ371" s="40"/>
      <c r="CR371" s="40"/>
      <c r="CS371" s="40"/>
    </row>
    <row r="372" spans="1:97">
      <c r="A372" s="397"/>
      <c r="B372" s="397"/>
      <c r="C372" s="397"/>
      <c r="D372" s="397"/>
      <c r="E372" s="397"/>
      <c r="F372" s="397"/>
      <c r="G372" s="180"/>
      <c r="H372" s="46"/>
      <c r="I372" s="53"/>
      <c r="J372" s="53"/>
      <c r="K372" s="192"/>
      <c r="L372" s="192"/>
      <c r="M372" s="192"/>
      <c r="N372" s="192"/>
      <c r="O372" s="192"/>
      <c r="P372" s="192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40"/>
      <c r="AY372" s="40"/>
      <c r="AZ372" s="40"/>
      <c r="BA372" s="40"/>
      <c r="BB372" s="40"/>
      <c r="BC372" s="40"/>
      <c r="BD372" s="40"/>
      <c r="BE372" s="40"/>
      <c r="BF372" s="40"/>
      <c r="BG372" s="40"/>
      <c r="BH372" s="40"/>
      <c r="BI372" s="40"/>
      <c r="BJ372" s="40"/>
      <c r="BK372" s="40"/>
      <c r="BL372" s="40"/>
      <c r="BM372" s="40"/>
      <c r="BN372" s="40"/>
      <c r="BO372" s="40"/>
      <c r="BP372" s="40"/>
      <c r="BQ372" s="40"/>
      <c r="BR372" s="40"/>
      <c r="BS372" s="40"/>
      <c r="BT372" s="40"/>
      <c r="BU372" s="40"/>
      <c r="BV372" s="40"/>
      <c r="BW372" s="40"/>
      <c r="BX372" s="40"/>
      <c r="BY372" s="40"/>
      <c r="BZ372" s="40"/>
      <c r="CA372" s="40"/>
      <c r="CB372" s="40"/>
      <c r="CC372" s="40"/>
      <c r="CD372" s="40"/>
      <c r="CE372" s="40"/>
      <c r="CF372" s="40"/>
      <c r="CG372" s="40"/>
      <c r="CH372" s="40"/>
      <c r="CI372" s="40"/>
      <c r="CJ372" s="40"/>
      <c r="CK372" s="40"/>
      <c r="CL372" s="40"/>
      <c r="CM372" s="40"/>
      <c r="CN372" s="40"/>
      <c r="CO372" s="40"/>
      <c r="CP372" s="40"/>
      <c r="CQ372" s="40"/>
      <c r="CR372" s="40"/>
      <c r="CS372" s="40"/>
    </row>
    <row r="373" spans="1:97">
      <c r="A373" s="397"/>
      <c r="B373" s="397"/>
      <c r="C373" s="397"/>
      <c r="D373" s="397"/>
      <c r="E373" s="397"/>
      <c r="F373" s="397"/>
      <c r="G373" s="180"/>
      <c r="H373" s="46"/>
      <c r="I373" s="53"/>
      <c r="J373" s="53"/>
      <c r="K373" s="192"/>
      <c r="L373" s="192"/>
      <c r="M373" s="192"/>
      <c r="N373" s="192"/>
      <c r="O373" s="192"/>
      <c r="P373" s="192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40"/>
      <c r="AT373" s="40"/>
      <c r="AU373" s="40"/>
      <c r="AV373" s="40"/>
      <c r="AW373" s="40"/>
      <c r="AX373" s="40"/>
      <c r="AY373" s="40"/>
      <c r="AZ373" s="40"/>
      <c r="BA373" s="40"/>
      <c r="BB373" s="40"/>
      <c r="BC373" s="40"/>
      <c r="BD373" s="40"/>
      <c r="BE373" s="40"/>
      <c r="BF373" s="40"/>
      <c r="BG373" s="40"/>
      <c r="BH373" s="40"/>
      <c r="BI373" s="40"/>
      <c r="BJ373" s="40"/>
      <c r="BK373" s="40"/>
      <c r="BL373" s="40"/>
      <c r="BM373" s="40"/>
      <c r="BN373" s="40"/>
      <c r="BO373" s="40"/>
      <c r="BP373" s="40"/>
      <c r="BQ373" s="40"/>
      <c r="BR373" s="40"/>
      <c r="BS373" s="40"/>
      <c r="BT373" s="40"/>
      <c r="BU373" s="40"/>
      <c r="BV373" s="40"/>
      <c r="BW373" s="40"/>
      <c r="BX373" s="40"/>
      <c r="BY373" s="40"/>
      <c r="BZ373" s="40"/>
      <c r="CA373" s="40"/>
      <c r="CB373" s="40"/>
      <c r="CC373" s="40"/>
      <c r="CD373" s="40"/>
      <c r="CE373" s="40"/>
      <c r="CF373" s="40"/>
      <c r="CG373" s="40"/>
      <c r="CH373" s="40"/>
      <c r="CI373" s="40"/>
      <c r="CJ373" s="40"/>
      <c r="CK373" s="40"/>
      <c r="CL373" s="40"/>
      <c r="CM373" s="40"/>
      <c r="CN373" s="40"/>
      <c r="CO373" s="40"/>
      <c r="CP373" s="40"/>
      <c r="CQ373" s="40"/>
      <c r="CR373" s="40"/>
      <c r="CS373" s="40"/>
    </row>
    <row r="374" spans="1:97">
      <c r="A374" s="397"/>
      <c r="B374" s="397"/>
      <c r="C374" s="397"/>
      <c r="D374" s="397"/>
      <c r="E374" s="397"/>
      <c r="F374" s="397"/>
      <c r="G374" s="180"/>
      <c r="H374" s="46"/>
      <c r="I374" s="53"/>
      <c r="J374" s="53"/>
      <c r="K374" s="192"/>
      <c r="L374" s="192"/>
      <c r="M374" s="192"/>
      <c r="N374" s="192"/>
      <c r="O374" s="192"/>
      <c r="P374" s="192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  <c r="BI374" s="40"/>
      <c r="BJ374" s="40"/>
      <c r="BK374" s="40"/>
      <c r="BL374" s="40"/>
      <c r="BM374" s="40"/>
      <c r="BN374" s="40"/>
      <c r="BO374" s="40"/>
      <c r="BP374" s="40"/>
      <c r="BQ374" s="40"/>
      <c r="BR374" s="40"/>
      <c r="BS374" s="40"/>
      <c r="BT374" s="40"/>
      <c r="BU374" s="40"/>
      <c r="BV374" s="40"/>
      <c r="BW374" s="40"/>
      <c r="BX374" s="40"/>
      <c r="BY374" s="40"/>
      <c r="BZ374" s="40"/>
      <c r="CA374" s="40"/>
      <c r="CB374" s="40"/>
      <c r="CC374" s="40"/>
      <c r="CD374" s="40"/>
      <c r="CE374" s="40"/>
      <c r="CF374" s="40"/>
      <c r="CG374" s="40"/>
      <c r="CH374" s="40"/>
      <c r="CI374" s="40"/>
      <c r="CJ374" s="40"/>
      <c r="CK374" s="40"/>
      <c r="CL374" s="40"/>
      <c r="CM374" s="40"/>
      <c r="CN374" s="40"/>
      <c r="CO374" s="40"/>
      <c r="CP374" s="40"/>
      <c r="CQ374" s="40"/>
      <c r="CR374" s="40"/>
      <c r="CS374" s="40"/>
    </row>
    <row r="375" spans="1:97">
      <c r="A375" s="397"/>
      <c r="B375" s="397"/>
      <c r="C375" s="397"/>
      <c r="D375" s="397"/>
      <c r="E375" s="397"/>
      <c r="F375" s="397"/>
      <c r="G375" s="180"/>
      <c r="H375" s="46"/>
      <c r="I375" s="53"/>
      <c r="J375" s="53"/>
      <c r="K375" s="192"/>
      <c r="L375" s="192"/>
      <c r="M375" s="192"/>
      <c r="N375" s="192"/>
      <c r="O375" s="192"/>
      <c r="P375" s="192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40"/>
      <c r="AT375" s="40"/>
      <c r="AU375" s="40"/>
      <c r="AV375" s="40"/>
      <c r="AW375" s="40"/>
      <c r="AX375" s="40"/>
      <c r="AY375" s="40"/>
      <c r="AZ375" s="40"/>
      <c r="BA375" s="40"/>
      <c r="BB375" s="40"/>
      <c r="BC375" s="40"/>
      <c r="BD375" s="40"/>
      <c r="BE375" s="40"/>
      <c r="BF375" s="40"/>
      <c r="BG375" s="40"/>
      <c r="BH375" s="40"/>
      <c r="BI375" s="40"/>
      <c r="BJ375" s="40"/>
      <c r="BK375" s="40"/>
      <c r="BL375" s="40"/>
      <c r="BM375" s="40"/>
      <c r="BN375" s="40"/>
      <c r="BO375" s="40"/>
      <c r="BP375" s="40"/>
      <c r="BQ375" s="40"/>
      <c r="BR375" s="40"/>
      <c r="BS375" s="40"/>
      <c r="BT375" s="40"/>
      <c r="BU375" s="40"/>
      <c r="BV375" s="40"/>
      <c r="BW375" s="40"/>
      <c r="BX375" s="40"/>
      <c r="BY375" s="40"/>
      <c r="BZ375" s="40"/>
      <c r="CA375" s="40"/>
      <c r="CB375" s="40"/>
      <c r="CC375" s="40"/>
      <c r="CD375" s="40"/>
      <c r="CE375" s="40"/>
      <c r="CF375" s="40"/>
      <c r="CG375" s="40"/>
      <c r="CH375" s="40"/>
      <c r="CI375" s="40"/>
      <c r="CJ375" s="40"/>
      <c r="CK375" s="40"/>
      <c r="CL375" s="40"/>
      <c r="CM375" s="40"/>
      <c r="CN375" s="40"/>
      <c r="CO375" s="40"/>
      <c r="CP375" s="40"/>
      <c r="CQ375" s="40"/>
      <c r="CR375" s="40"/>
      <c r="CS375" s="40"/>
    </row>
    <row r="376" spans="1:97">
      <c r="A376" s="397"/>
      <c r="B376" s="397"/>
      <c r="C376" s="397"/>
      <c r="D376" s="397"/>
      <c r="E376" s="397"/>
      <c r="F376" s="397"/>
      <c r="G376" s="180"/>
      <c r="H376" s="46"/>
      <c r="I376" s="53"/>
      <c r="J376" s="53"/>
      <c r="K376" s="192"/>
      <c r="L376" s="192"/>
      <c r="M376" s="192"/>
      <c r="N376" s="192"/>
      <c r="O376" s="192"/>
      <c r="P376" s="192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AZ376" s="40"/>
      <c r="BA376" s="40"/>
      <c r="BB376" s="40"/>
      <c r="BC376" s="40"/>
      <c r="BD376" s="40"/>
      <c r="BE376" s="40"/>
      <c r="BF376" s="40"/>
      <c r="BG376" s="40"/>
      <c r="BH376" s="40"/>
      <c r="BI376" s="40"/>
      <c r="BJ376" s="40"/>
      <c r="BK376" s="40"/>
      <c r="BL376" s="40"/>
      <c r="BM376" s="40"/>
      <c r="BN376" s="40"/>
      <c r="BO376" s="40"/>
      <c r="BP376" s="40"/>
      <c r="BQ376" s="40"/>
      <c r="BR376" s="40"/>
      <c r="BS376" s="40"/>
      <c r="BT376" s="40"/>
      <c r="BU376" s="40"/>
      <c r="BV376" s="40"/>
      <c r="BW376" s="40"/>
      <c r="BX376" s="40"/>
      <c r="BY376" s="40"/>
      <c r="BZ376" s="40"/>
      <c r="CA376" s="40"/>
      <c r="CB376" s="40"/>
      <c r="CC376" s="40"/>
      <c r="CD376" s="40"/>
      <c r="CE376" s="40"/>
      <c r="CF376" s="40"/>
      <c r="CG376" s="40"/>
      <c r="CH376" s="40"/>
      <c r="CI376" s="40"/>
      <c r="CJ376" s="40"/>
      <c r="CK376" s="40"/>
      <c r="CL376" s="40"/>
      <c r="CM376" s="40"/>
      <c r="CN376" s="40"/>
      <c r="CO376" s="40"/>
      <c r="CP376" s="40"/>
      <c r="CQ376" s="40"/>
      <c r="CR376" s="40"/>
      <c r="CS376" s="40"/>
    </row>
    <row r="377" spans="1:97">
      <c r="A377" s="397"/>
      <c r="B377" s="397"/>
      <c r="C377" s="397"/>
      <c r="D377" s="397"/>
      <c r="E377" s="397"/>
      <c r="F377" s="397"/>
      <c r="G377" s="180"/>
      <c r="H377" s="46"/>
      <c r="I377" s="53"/>
      <c r="J377" s="53"/>
      <c r="K377" s="192"/>
      <c r="L377" s="192"/>
      <c r="M377" s="192"/>
      <c r="N377" s="192"/>
      <c r="O377" s="192"/>
      <c r="P377" s="192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40"/>
      <c r="AT377" s="40"/>
      <c r="AU377" s="40"/>
      <c r="AV377" s="40"/>
      <c r="AW377" s="40"/>
      <c r="AX377" s="40"/>
      <c r="AY377" s="40"/>
      <c r="AZ377" s="40"/>
      <c r="BA377" s="40"/>
      <c r="BB377" s="40"/>
      <c r="BC377" s="40"/>
      <c r="BD377" s="40"/>
      <c r="BE377" s="40"/>
      <c r="BF377" s="40"/>
      <c r="BG377" s="40"/>
      <c r="BH377" s="40"/>
      <c r="BI377" s="40"/>
      <c r="BJ377" s="40"/>
      <c r="BK377" s="40"/>
      <c r="BL377" s="40"/>
      <c r="BM377" s="40"/>
      <c r="BN377" s="40"/>
      <c r="BO377" s="40"/>
      <c r="BP377" s="40"/>
      <c r="BQ377" s="40"/>
      <c r="BR377" s="40"/>
      <c r="BS377" s="40"/>
      <c r="BT377" s="40"/>
      <c r="BU377" s="40"/>
      <c r="BV377" s="40"/>
      <c r="BW377" s="40"/>
      <c r="BX377" s="40"/>
      <c r="BY377" s="40"/>
      <c r="BZ377" s="40"/>
      <c r="CA377" s="40"/>
      <c r="CB377" s="40"/>
      <c r="CC377" s="40"/>
      <c r="CD377" s="40"/>
      <c r="CE377" s="40"/>
      <c r="CF377" s="40"/>
      <c r="CG377" s="40"/>
      <c r="CH377" s="40"/>
      <c r="CI377" s="40"/>
      <c r="CJ377" s="40"/>
      <c r="CK377" s="40"/>
      <c r="CL377" s="40"/>
      <c r="CM377" s="40"/>
      <c r="CN377" s="40"/>
      <c r="CO377" s="40"/>
      <c r="CP377" s="40"/>
      <c r="CQ377" s="40"/>
      <c r="CR377" s="40"/>
      <c r="CS377" s="40"/>
    </row>
    <row r="378" spans="1:97">
      <c r="A378" s="397"/>
      <c r="B378" s="397"/>
      <c r="C378" s="397"/>
      <c r="D378" s="397"/>
      <c r="E378" s="397"/>
      <c r="F378" s="397"/>
      <c r="G378" s="180"/>
      <c r="H378" s="46"/>
      <c r="I378" s="53"/>
      <c r="J378" s="53"/>
      <c r="K378" s="192"/>
      <c r="L378" s="192"/>
      <c r="M378" s="192"/>
      <c r="N378" s="192"/>
      <c r="O378" s="192"/>
      <c r="P378" s="192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40"/>
      <c r="AT378" s="40"/>
      <c r="AU378" s="40"/>
      <c r="AV378" s="40"/>
      <c r="AW378" s="40"/>
      <c r="AX378" s="40"/>
      <c r="AY378" s="40"/>
      <c r="AZ378" s="40"/>
      <c r="BA378" s="40"/>
      <c r="BB378" s="40"/>
      <c r="BC378" s="40"/>
      <c r="BD378" s="40"/>
      <c r="BE378" s="40"/>
      <c r="BF378" s="40"/>
      <c r="BG378" s="40"/>
      <c r="BH378" s="40"/>
      <c r="BI378" s="40"/>
      <c r="BJ378" s="40"/>
      <c r="BK378" s="40"/>
      <c r="BL378" s="40"/>
      <c r="BM378" s="40"/>
      <c r="BN378" s="40"/>
      <c r="BO378" s="40"/>
      <c r="BP378" s="40"/>
      <c r="BQ378" s="40"/>
      <c r="BR378" s="40"/>
      <c r="BS378" s="40"/>
      <c r="BT378" s="40"/>
      <c r="BU378" s="40"/>
      <c r="BV378" s="40"/>
      <c r="BW378" s="40"/>
      <c r="BX378" s="40"/>
      <c r="BY378" s="40"/>
      <c r="BZ378" s="40"/>
      <c r="CA378" s="40"/>
      <c r="CB378" s="40"/>
      <c r="CC378" s="40"/>
      <c r="CD378" s="40"/>
      <c r="CE378" s="40"/>
      <c r="CF378" s="40"/>
      <c r="CG378" s="40"/>
      <c r="CH378" s="40"/>
      <c r="CI378" s="40"/>
      <c r="CJ378" s="40"/>
      <c r="CK378" s="40"/>
      <c r="CL378" s="40"/>
      <c r="CM378" s="40"/>
      <c r="CN378" s="40"/>
      <c r="CO378" s="40"/>
      <c r="CP378" s="40"/>
      <c r="CQ378" s="40"/>
      <c r="CR378" s="40"/>
      <c r="CS378" s="40"/>
    </row>
    <row r="379" spans="1:97">
      <c r="A379" s="397"/>
      <c r="B379" s="397"/>
      <c r="C379" s="397"/>
      <c r="D379" s="397"/>
      <c r="E379" s="397"/>
      <c r="F379" s="397"/>
      <c r="G379" s="180"/>
      <c r="H379" s="46"/>
      <c r="I379" s="53"/>
      <c r="J379" s="53"/>
      <c r="K379" s="192"/>
      <c r="L379" s="192"/>
      <c r="M379" s="192"/>
      <c r="N379" s="192"/>
      <c r="O379" s="192"/>
      <c r="P379" s="192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40"/>
      <c r="AT379" s="40"/>
      <c r="AU379" s="40"/>
      <c r="AV379" s="40"/>
      <c r="AW379" s="40"/>
      <c r="AX379" s="40"/>
      <c r="AY379" s="40"/>
      <c r="AZ379" s="40"/>
      <c r="BA379" s="40"/>
      <c r="BB379" s="40"/>
      <c r="BC379" s="40"/>
      <c r="BD379" s="40"/>
      <c r="BE379" s="40"/>
      <c r="BF379" s="40"/>
      <c r="BG379" s="40"/>
      <c r="BH379" s="40"/>
      <c r="BI379" s="40"/>
      <c r="BJ379" s="40"/>
      <c r="BK379" s="40"/>
      <c r="BL379" s="40"/>
      <c r="BM379" s="40"/>
      <c r="BN379" s="40"/>
      <c r="BO379" s="40"/>
      <c r="BP379" s="40"/>
      <c r="BQ379" s="40"/>
      <c r="BR379" s="40"/>
      <c r="BS379" s="40"/>
      <c r="BT379" s="40"/>
      <c r="BU379" s="40"/>
      <c r="BV379" s="40"/>
      <c r="BW379" s="40"/>
      <c r="BX379" s="40"/>
      <c r="BY379" s="40"/>
      <c r="BZ379" s="40"/>
      <c r="CA379" s="40"/>
      <c r="CB379" s="40"/>
      <c r="CC379" s="40"/>
      <c r="CD379" s="40"/>
      <c r="CE379" s="40"/>
      <c r="CF379" s="40"/>
      <c r="CG379" s="40"/>
      <c r="CH379" s="40"/>
      <c r="CI379" s="40"/>
      <c r="CJ379" s="40"/>
      <c r="CK379" s="40"/>
      <c r="CL379" s="40"/>
      <c r="CM379" s="40"/>
      <c r="CN379" s="40"/>
      <c r="CO379" s="40"/>
      <c r="CP379" s="40"/>
      <c r="CQ379" s="40"/>
      <c r="CR379" s="40"/>
      <c r="CS379" s="40"/>
    </row>
    <row r="380" spans="1:97">
      <c r="A380" s="397"/>
      <c r="B380" s="397"/>
      <c r="C380" s="397"/>
      <c r="D380" s="397"/>
      <c r="E380" s="397"/>
      <c r="F380" s="397"/>
      <c r="G380" s="180"/>
      <c r="H380" s="46"/>
      <c r="I380" s="53"/>
      <c r="J380" s="53"/>
      <c r="K380" s="192"/>
      <c r="L380" s="192"/>
      <c r="M380" s="192"/>
      <c r="N380" s="192"/>
      <c r="O380" s="192"/>
      <c r="P380" s="192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40"/>
      <c r="AY380" s="40"/>
      <c r="AZ380" s="40"/>
      <c r="BA380" s="40"/>
      <c r="BB380" s="40"/>
      <c r="BC380" s="40"/>
      <c r="BD380" s="40"/>
      <c r="BE380" s="40"/>
      <c r="BF380" s="40"/>
      <c r="BG380" s="40"/>
      <c r="BH380" s="40"/>
      <c r="BI380" s="40"/>
      <c r="BJ380" s="40"/>
      <c r="BK380" s="40"/>
      <c r="BL380" s="40"/>
      <c r="BM380" s="40"/>
      <c r="BN380" s="40"/>
      <c r="BO380" s="40"/>
      <c r="BP380" s="40"/>
      <c r="BQ380" s="40"/>
      <c r="BR380" s="40"/>
      <c r="BS380" s="40"/>
      <c r="BT380" s="40"/>
      <c r="BU380" s="40"/>
      <c r="BV380" s="40"/>
      <c r="BW380" s="40"/>
      <c r="BX380" s="40"/>
      <c r="BY380" s="40"/>
      <c r="BZ380" s="40"/>
      <c r="CA380" s="40"/>
      <c r="CB380" s="40"/>
      <c r="CC380" s="40"/>
      <c r="CD380" s="40"/>
      <c r="CE380" s="40"/>
      <c r="CF380" s="40"/>
      <c r="CG380" s="40"/>
      <c r="CH380" s="40"/>
      <c r="CI380" s="40"/>
      <c r="CJ380" s="40"/>
      <c r="CK380" s="40"/>
      <c r="CL380" s="40"/>
      <c r="CM380" s="40"/>
      <c r="CN380" s="40"/>
      <c r="CO380" s="40"/>
      <c r="CP380" s="40"/>
      <c r="CQ380" s="40"/>
      <c r="CR380" s="40"/>
      <c r="CS380" s="40"/>
    </row>
    <row r="381" spans="1:97">
      <c r="A381" s="397"/>
      <c r="B381" s="397"/>
      <c r="C381" s="397"/>
      <c r="D381" s="397"/>
      <c r="E381" s="397"/>
      <c r="F381" s="397"/>
      <c r="G381" s="180"/>
      <c r="H381" s="46"/>
      <c r="I381" s="53"/>
      <c r="J381" s="53"/>
      <c r="K381" s="192"/>
      <c r="L381" s="192"/>
      <c r="M381" s="192"/>
      <c r="N381" s="192"/>
      <c r="O381" s="192"/>
      <c r="P381" s="192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40"/>
      <c r="AT381" s="40"/>
      <c r="AU381" s="40"/>
      <c r="AV381" s="40"/>
      <c r="AW381" s="40"/>
      <c r="AX381" s="40"/>
      <c r="AY381" s="40"/>
      <c r="AZ381" s="40"/>
      <c r="BA381" s="40"/>
      <c r="BB381" s="40"/>
      <c r="BC381" s="40"/>
      <c r="BD381" s="40"/>
      <c r="BE381" s="40"/>
      <c r="BF381" s="40"/>
      <c r="BG381" s="40"/>
      <c r="BH381" s="40"/>
      <c r="BI381" s="40"/>
      <c r="BJ381" s="40"/>
      <c r="BK381" s="40"/>
      <c r="BL381" s="40"/>
      <c r="BM381" s="40"/>
      <c r="BN381" s="40"/>
      <c r="BO381" s="40"/>
      <c r="BP381" s="40"/>
      <c r="BQ381" s="40"/>
      <c r="BR381" s="40"/>
      <c r="BS381" s="40"/>
      <c r="BT381" s="40"/>
      <c r="BU381" s="40"/>
      <c r="BV381" s="40"/>
      <c r="BW381" s="40"/>
      <c r="BX381" s="40"/>
      <c r="BY381" s="40"/>
      <c r="BZ381" s="40"/>
      <c r="CA381" s="40"/>
      <c r="CB381" s="40"/>
      <c r="CC381" s="40"/>
      <c r="CD381" s="40"/>
      <c r="CE381" s="40"/>
      <c r="CF381" s="40"/>
      <c r="CG381" s="40"/>
      <c r="CH381" s="40"/>
      <c r="CI381" s="40"/>
      <c r="CJ381" s="40"/>
      <c r="CK381" s="40"/>
      <c r="CL381" s="40"/>
      <c r="CM381" s="40"/>
      <c r="CN381" s="40"/>
      <c r="CO381" s="40"/>
      <c r="CP381" s="40"/>
      <c r="CQ381" s="40"/>
      <c r="CR381" s="40"/>
      <c r="CS381" s="40"/>
    </row>
    <row r="382" spans="1:97">
      <c r="A382" s="397"/>
      <c r="B382" s="397"/>
      <c r="C382" s="397"/>
      <c r="D382" s="397"/>
      <c r="E382" s="397"/>
      <c r="F382" s="397"/>
      <c r="G382" s="180"/>
      <c r="H382" s="46"/>
      <c r="I382" s="53"/>
      <c r="J382" s="53"/>
      <c r="K382" s="192"/>
      <c r="L382" s="192"/>
      <c r="M382" s="192"/>
      <c r="N382" s="192"/>
      <c r="O382" s="192"/>
      <c r="P382" s="192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40"/>
      <c r="AY382" s="40"/>
      <c r="AZ382" s="40"/>
      <c r="BA382" s="40"/>
      <c r="BB382" s="40"/>
      <c r="BC382" s="40"/>
      <c r="BD382" s="40"/>
      <c r="BE382" s="40"/>
      <c r="BF382" s="40"/>
      <c r="BG382" s="40"/>
      <c r="BH382" s="40"/>
      <c r="BI382" s="40"/>
      <c r="BJ382" s="40"/>
      <c r="BK382" s="40"/>
      <c r="BL382" s="40"/>
      <c r="BM382" s="40"/>
      <c r="BN382" s="40"/>
      <c r="BO382" s="40"/>
      <c r="BP382" s="40"/>
      <c r="BQ382" s="40"/>
      <c r="BR382" s="40"/>
      <c r="BS382" s="40"/>
      <c r="BT382" s="40"/>
      <c r="BU382" s="40"/>
      <c r="BV382" s="40"/>
      <c r="BW382" s="40"/>
      <c r="BX382" s="40"/>
      <c r="BY382" s="40"/>
      <c r="BZ382" s="40"/>
      <c r="CA382" s="40"/>
      <c r="CB382" s="40"/>
      <c r="CC382" s="40"/>
      <c r="CD382" s="40"/>
      <c r="CE382" s="40"/>
      <c r="CF382" s="40"/>
      <c r="CG382" s="40"/>
      <c r="CH382" s="40"/>
      <c r="CI382" s="40"/>
      <c r="CJ382" s="40"/>
      <c r="CK382" s="40"/>
      <c r="CL382" s="40"/>
      <c r="CM382" s="40"/>
      <c r="CN382" s="40"/>
      <c r="CO382" s="40"/>
      <c r="CP382" s="40"/>
      <c r="CQ382" s="40"/>
      <c r="CR382" s="40"/>
      <c r="CS382" s="40"/>
    </row>
    <row r="383" spans="1:97">
      <c r="A383" s="397"/>
      <c r="B383" s="397"/>
      <c r="C383" s="397"/>
      <c r="D383" s="397"/>
      <c r="E383" s="397"/>
      <c r="F383" s="397"/>
      <c r="G383" s="180"/>
      <c r="H383" s="46"/>
      <c r="I383" s="53"/>
      <c r="J383" s="53"/>
      <c r="K383" s="192"/>
      <c r="L383" s="192"/>
      <c r="M383" s="192"/>
      <c r="N383" s="192"/>
      <c r="O383" s="192"/>
      <c r="P383" s="192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40"/>
      <c r="AX383" s="40"/>
      <c r="AY383" s="40"/>
      <c r="AZ383" s="40"/>
      <c r="BA383" s="40"/>
      <c r="BB383" s="40"/>
      <c r="BC383" s="40"/>
      <c r="BD383" s="40"/>
      <c r="BE383" s="40"/>
      <c r="BF383" s="40"/>
      <c r="BG383" s="40"/>
      <c r="BH383" s="40"/>
      <c r="BI383" s="40"/>
      <c r="BJ383" s="40"/>
      <c r="BK383" s="40"/>
      <c r="BL383" s="40"/>
      <c r="BM383" s="40"/>
      <c r="BN383" s="40"/>
      <c r="BO383" s="40"/>
      <c r="BP383" s="40"/>
      <c r="BQ383" s="40"/>
      <c r="BR383" s="40"/>
      <c r="BS383" s="40"/>
      <c r="BT383" s="40"/>
      <c r="BU383" s="40"/>
      <c r="BV383" s="40"/>
      <c r="BW383" s="40"/>
      <c r="BX383" s="40"/>
      <c r="BY383" s="40"/>
      <c r="BZ383" s="40"/>
      <c r="CA383" s="40"/>
      <c r="CB383" s="40"/>
      <c r="CC383" s="40"/>
      <c r="CD383" s="40"/>
      <c r="CE383" s="40"/>
      <c r="CF383" s="40"/>
      <c r="CG383" s="40"/>
      <c r="CH383" s="40"/>
      <c r="CI383" s="40"/>
      <c r="CJ383" s="40"/>
      <c r="CK383" s="40"/>
      <c r="CL383" s="40"/>
      <c r="CM383" s="40"/>
      <c r="CN383" s="40"/>
      <c r="CO383" s="40"/>
      <c r="CP383" s="40"/>
      <c r="CQ383" s="40"/>
      <c r="CR383" s="40"/>
      <c r="CS383" s="40"/>
    </row>
    <row r="384" spans="1:97">
      <c r="A384" s="397"/>
      <c r="B384" s="397"/>
      <c r="C384" s="397"/>
      <c r="D384" s="397"/>
      <c r="E384" s="397"/>
      <c r="F384" s="397"/>
      <c r="G384" s="180"/>
      <c r="H384" s="46"/>
      <c r="I384" s="53"/>
      <c r="J384" s="53"/>
      <c r="K384" s="192"/>
      <c r="L384" s="192"/>
      <c r="M384" s="192"/>
      <c r="N384" s="192"/>
      <c r="O384" s="192"/>
      <c r="P384" s="192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AZ384" s="40"/>
      <c r="BA384" s="40"/>
      <c r="BB384" s="40"/>
      <c r="BC384" s="40"/>
      <c r="BD384" s="40"/>
      <c r="BE384" s="40"/>
      <c r="BF384" s="40"/>
      <c r="BG384" s="40"/>
      <c r="BH384" s="40"/>
      <c r="BI384" s="40"/>
      <c r="BJ384" s="40"/>
      <c r="BK384" s="40"/>
      <c r="BL384" s="40"/>
      <c r="BM384" s="40"/>
      <c r="BN384" s="40"/>
      <c r="BO384" s="40"/>
      <c r="BP384" s="40"/>
      <c r="BQ384" s="40"/>
      <c r="BR384" s="40"/>
      <c r="BS384" s="40"/>
      <c r="BT384" s="40"/>
      <c r="BU384" s="40"/>
      <c r="BV384" s="40"/>
      <c r="BW384" s="40"/>
      <c r="BX384" s="40"/>
      <c r="BY384" s="40"/>
      <c r="BZ384" s="40"/>
      <c r="CA384" s="40"/>
      <c r="CB384" s="40"/>
      <c r="CC384" s="40"/>
      <c r="CD384" s="40"/>
      <c r="CE384" s="40"/>
      <c r="CF384" s="40"/>
      <c r="CG384" s="40"/>
      <c r="CH384" s="40"/>
      <c r="CI384" s="40"/>
      <c r="CJ384" s="40"/>
      <c r="CK384" s="40"/>
      <c r="CL384" s="40"/>
      <c r="CM384" s="40"/>
      <c r="CN384" s="40"/>
      <c r="CO384" s="40"/>
      <c r="CP384" s="40"/>
      <c r="CQ384" s="40"/>
      <c r="CR384" s="40"/>
      <c r="CS384" s="40"/>
    </row>
    <row r="385" spans="1:97">
      <c r="A385" s="397"/>
      <c r="B385" s="397"/>
      <c r="C385" s="397"/>
      <c r="D385" s="397"/>
      <c r="E385" s="397"/>
      <c r="F385" s="397"/>
      <c r="G385" s="180"/>
      <c r="H385" s="46"/>
      <c r="I385" s="53"/>
      <c r="J385" s="53"/>
      <c r="K385" s="192"/>
      <c r="L385" s="192"/>
      <c r="M385" s="192"/>
      <c r="N385" s="192"/>
      <c r="O385" s="192"/>
      <c r="P385" s="192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40"/>
      <c r="AT385" s="40"/>
      <c r="AU385" s="40"/>
      <c r="AV385" s="40"/>
      <c r="AW385" s="40"/>
      <c r="AX385" s="40"/>
      <c r="AY385" s="40"/>
      <c r="AZ385" s="40"/>
      <c r="BA385" s="40"/>
      <c r="BB385" s="40"/>
      <c r="BC385" s="40"/>
      <c r="BD385" s="40"/>
      <c r="BE385" s="40"/>
      <c r="BF385" s="40"/>
      <c r="BG385" s="40"/>
      <c r="BH385" s="40"/>
      <c r="BI385" s="40"/>
      <c r="BJ385" s="40"/>
      <c r="BK385" s="40"/>
      <c r="BL385" s="40"/>
      <c r="BM385" s="40"/>
      <c r="BN385" s="40"/>
      <c r="BO385" s="40"/>
      <c r="BP385" s="40"/>
      <c r="BQ385" s="40"/>
      <c r="BR385" s="40"/>
      <c r="BS385" s="40"/>
      <c r="BT385" s="40"/>
      <c r="BU385" s="40"/>
      <c r="BV385" s="40"/>
      <c r="BW385" s="40"/>
      <c r="BX385" s="40"/>
      <c r="BY385" s="40"/>
      <c r="BZ385" s="40"/>
      <c r="CA385" s="40"/>
      <c r="CB385" s="40"/>
      <c r="CC385" s="40"/>
      <c r="CD385" s="40"/>
      <c r="CE385" s="40"/>
      <c r="CF385" s="40"/>
      <c r="CG385" s="40"/>
      <c r="CH385" s="40"/>
      <c r="CI385" s="40"/>
      <c r="CJ385" s="40"/>
      <c r="CK385" s="40"/>
      <c r="CL385" s="40"/>
      <c r="CM385" s="40"/>
      <c r="CN385" s="40"/>
      <c r="CO385" s="40"/>
      <c r="CP385" s="40"/>
      <c r="CQ385" s="40"/>
      <c r="CR385" s="40"/>
      <c r="CS385" s="40"/>
    </row>
    <row r="386" spans="1:97">
      <c r="A386" s="397"/>
      <c r="B386" s="397"/>
      <c r="C386" s="397"/>
      <c r="D386" s="397"/>
      <c r="E386" s="397"/>
      <c r="F386" s="397"/>
      <c r="G386" s="180"/>
      <c r="H386" s="46"/>
      <c r="I386" s="53"/>
      <c r="J386" s="53"/>
      <c r="K386" s="192"/>
      <c r="L386" s="192"/>
      <c r="M386" s="192"/>
      <c r="N386" s="192"/>
      <c r="O386" s="192"/>
      <c r="P386" s="192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40"/>
      <c r="AT386" s="40"/>
      <c r="AU386" s="40"/>
      <c r="AV386" s="40"/>
      <c r="AW386" s="40"/>
      <c r="AX386" s="40"/>
      <c r="AY386" s="40"/>
      <c r="AZ386" s="40"/>
      <c r="BA386" s="40"/>
      <c r="BB386" s="40"/>
      <c r="BC386" s="40"/>
      <c r="BD386" s="40"/>
      <c r="BE386" s="40"/>
      <c r="BF386" s="40"/>
      <c r="BG386" s="40"/>
      <c r="BH386" s="40"/>
      <c r="BI386" s="40"/>
      <c r="BJ386" s="40"/>
      <c r="BK386" s="40"/>
      <c r="BL386" s="40"/>
      <c r="BM386" s="40"/>
      <c r="BN386" s="40"/>
      <c r="BO386" s="40"/>
      <c r="BP386" s="40"/>
      <c r="BQ386" s="40"/>
      <c r="BR386" s="40"/>
      <c r="BS386" s="40"/>
      <c r="BT386" s="40"/>
      <c r="BU386" s="40"/>
      <c r="BV386" s="40"/>
      <c r="BW386" s="40"/>
      <c r="BX386" s="40"/>
      <c r="BY386" s="40"/>
      <c r="BZ386" s="40"/>
      <c r="CA386" s="40"/>
      <c r="CB386" s="40"/>
      <c r="CC386" s="40"/>
      <c r="CD386" s="40"/>
      <c r="CE386" s="40"/>
      <c r="CF386" s="40"/>
      <c r="CG386" s="40"/>
      <c r="CH386" s="40"/>
      <c r="CI386" s="40"/>
      <c r="CJ386" s="40"/>
      <c r="CK386" s="40"/>
      <c r="CL386" s="40"/>
      <c r="CM386" s="40"/>
      <c r="CN386" s="40"/>
      <c r="CO386" s="40"/>
      <c r="CP386" s="40"/>
      <c r="CQ386" s="40"/>
      <c r="CR386" s="40"/>
      <c r="CS386" s="40"/>
    </row>
    <row r="387" spans="1:97">
      <c r="A387" s="397"/>
      <c r="B387" s="397"/>
      <c r="C387" s="397"/>
      <c r="D387" s="397"/>
      <c r="E387" s="397"/>
      <c r="F387" s="397"/>
      <c r="G387" s="180"/>
      <c r="H387" s="46"/>
      <c r="I387" s="53"/>
      <c r="J387" s="53"/>
      <c r="K387" s="192"/>
      <c r="L387" s="192"/>
      <c r="M387" s="192"/>
      <c r="N387" s="192"/>
      <c r="O387" s="192"/>
      <c r="P387" s="192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40"/>
      <c r="AS387" s="40"/>
      <c r="AT387" s="40"/>
      <c r="AU387" s="40"/>
      <c r="AV387" s="40"/>
      <c r="AW387" s="40"/>
      <c r="AX387" s="40"/>
      <c r="AY387" s="40"/>
      <c r="AZ387" s="40"/>
      <c r="BA387" s="40"/>
      <c r="BB387" s="40"/>
      <c r="BC387" s="40"/>
      <c r="BD387" s="40"/>
      <c r="BE387" s="40"/>
      <c r="BF387" s="40"/>
      <c r="BG387" s="40"/>
      <c r="BH387" s="40"/>
      <c r="BI387" s="40"/>
      <c r="BJ387" s="40"/>
      <c r="BK387" s="40"/>
      <c r="BL387" s="40"/>
      <c r="BM387" s="40"/>
      <c r="BN387" s="40"/>
      <c r="BO387" s="40"/>
      <c r="BP387" s="40"/>
      <c r="BQ387" s="40"/>
      <c r="BR387" s="40"/>
      <c r="BS387" s="40"/>
      <c r="BT387" s="40"/>
      <c r="BU387" s="40"/>
      <c r="BV387" s="40"/>
      <c r="BW387" s="40"/>
      <c r="BX387" s="40"/>
      <c r="BY387" s="40"/>
      <c r="BZ387" s="40"/>
      <c r="CA387" s="40"/>
      <c r="CB387" s="40"/>
      <c r="CC387" s="40"/>
      <c r="CD387" s="40"/>
      <c r="CE387" s="40"/>
      <c r="CF387" s="40"/>
      <c r="CG387" s="40"/>
      <c r="CH387" s="40"/>
      <c r="CI387" s="40"/>
      <c r="CJ387" s="40"/>
      <c r="CK387" s="40"/>
      <c r="CL387" s="40"/>
      <c r="CM387" s="40"/>
      <c r="CN387" s="40"/>
      <c r="CO387" s="40"/>
      <c r="CP387" s="40"/>
      <c r="CQ387" s="40"/>
      <c r="CR387" s="40"/>
      <c r="CS387" s="40"/>
    </row>
    <row r="388" spans="1:97">
      <c r="A388" s="397"/>
      <c r="B388" s="397"/>
      <c r="C388" s="397"/>
      <c r="D388" s="397"/>
      <c r="E388" s="397"/>
      <c r="F388" s="397"/>
      <c r="G388" s="180"/>
      <c r="H388" s="46"/>
      <c r="I388" s="53"/>
      <c r="J388" s="53"/>
      <c r="K388" s="192"/>
      <c r="L388" s="192"/>
      <c r="M388" s="192"/>
      <c r="N388" s="192"/>
      <c r="O388" s="192"/>
      <c r="P388" s="192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AZ388" s="40"/>
      <c r="BA388" s="40"/>
      <c r="BB388" s="40"/>
      <c r="BC388" s="40"/>
      <c r="BD388" s="40"/>
      <c r="BE388" s="40"/>
      <c r="BF388" s="40"/>
      <c r="BG388" s="40"/>
      <c r="BH388" s="40"/>
      <c r="BI388" s="40"/>
      <c r="BJ388" s="40"/>
      <c r="BK388" s="40"/>
      <c r="BL388" s="40"/>
      <c r="BM388" s="40"/>
      <c r="BN388" s="40"/>
      <c r="BO388" s="40"/>
      <c r="BP388" s="40"/>
      <c r="BQ388" s="40"/>
      <c r="BR388" s="40"/>
      <c r="BS388" s="40"/>
      <c r="BT388" s="40"/>
      <c r="BU388" s="40"/>
      <c r="BV388" s="40"/>
      <c r="BW388" s="40"/>
      <c r="BX388" s="40"/>
      <c r="BY388" s="40"/>
      <c r="BZ388" s="40"/>
      <c r="CA388" s="40"/>
      <c r="CB388" s="40"/>
      <c r="CC388" s="40"/>
      <c r="CD388" s="40"/>
      <c r="CE388" s="40"/>
      <c r="CF388" s="40"/>
      <c r="CG388" s="40"/>
      <c r="CH388" s="40"/>
      <c r="CI388" s="40"/>
      <c r="CJ388" s="40"/>
      <c r="CK388" s="40"/>
      <c r="CL388" s="40"/>
      <c r="CM388" s="40"/>
      <c r="CN388" s="40"/>
      <c r="CO388" s="40"/>
      <c r="CP388" s="40"/>
      <c r="CQ388" s="40"/>
      <c r="CR388" s="40"/>
      <c r="CS388" s="40"/>
    </row>
    <row r="389" spans="1:97">
      <c r="A389" s="397"/>
      <c r="B389" s="397"/>
      <c r="C389" s="397"/>
      <c r="D389" s="397"/>
      <c r="E389" s="397"/>
      <c r="F389" s="397"/>
      <c r="G389" s="180"/>
      <c r="H389" s="46"/>
      <c r="I389" s="53"/>
      <c r="J389" s="53"/>
      <c r="K389" s="192"/>
      <c r="L389" s="192"/>
      <c r="M389" s="192"/>
      <c r="N389" s="192"/>
      <c r="O389" s="192"/>
      <c r="P389" s="192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40"/>
      <c r="AY389" s="40"/>
      <c r="AZ389" s="40"/>
      <c r="BA389" s="40"/>
      <c r="BB389" s="40"/>
      <c r="BC389" s="40"/>
      <c r="BD389" s="40"/>
      <c r="BE389" s="40"/>
      <c r="BF389" s="40"/>
      <c r="BG389" s="40"/>
      <c r="BH389" s="40"/>
      <c r="BI389" s="40"/>
      <c r="BJ389" s="40"/>
      <c r="BK389" s="40"/>
      <c r="BL389" s="40"/>
      <c r="BM389" s="40"/>
      <c r="BN389" s="40"/>
      <c r="BO389" s="40"/>
      <c r="BP389" s="40"/>
      <c r="BQ389" s="40"/>
      <c r="BR389" s="40"/>
      <c r="BS389" s="40"/>
      <c r="BT389" s="40"/>
      <c r="BU389" s="40"/>
      <c r="BV389" s="40"/>
      <c r="BW389" s="40"/>
      <c r="BX389" s="40"/>
      <c r="BY389" s="40"/>
      <c r="BZ389" s="40"/>
      <c r="CA389" s="40"/>
      <c r="CB389" s="40"/>
      <c r="CC389" s="40"/>
      <c r="CD389" s="40"/>
      <c r="CE389" s="40"/>
      <c r="CF389" s="40"/>
      <c r="CG389" s="40"/>
      <c r="CH389" s="40"/>
      <c r="CI389" s="40"/>
      <c r="CJ389" s="40"/>
      <c r="CK389" s="40"/>
      <c r="CL389" s="40"/>
      <c r="CM389" s="40"/>
      <c r="CN389" s="40"/>
      <c r="CO389" s="40"/>
      <c r="CP389" s="40"/>
      <c r="CQ389" s="40"/>
      <c r="CR389" s="40"/>
      <c r="CS389" s="40"/>
    </row>
    <row r="390" spans="1:97">
      <c r="A390" s="397"/>
      <c r="B390" s="397"/>
      <c r="C390" s="397"/>
      <c r="D390" s="397"/>
      <c r="E390" s="397"/>
      <c r="F390" s="397"/>
      <c r="G390" s="180"/>
      <c r="H390" s="46"/>
      <c r="I390" s="53"/>
      <c r="J390" s="53"/>
      <c r="K390" s="192"/>
      <c r="L390" s="192"/>
      <c r="M390" s="192"/>
      <c r="N390" s="192"/>
      <c r="O390" s="192"/>
      <c r="P390" s="192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  <c r="BH390" s="40"/>
      <c r="BI390" s="40"/>
      <c r="BJ390" s="40"/>
      <c r="BK390" s="40"/>
      <c r="BL390" s="40"/>
      <c r="BM390" s="40"/>
      <c r="BN390" s="40"/>
      <c r="BO390" s="40"/>
      <c r="BP390" s="40"/>
      <c r="BQ390" s="40"/>
      <c r="BR390" s="40"/>
      <c r="BS390" s="40"/>
      <c r="BT390" s="40"/>
      <c r="BU390" s="40"/>
      <c r="BV390" s="40"/>
      <c r="BW390" s="40"/>
      <c r="BX390" s="40"/>
      <c r="BY390" s="40"/>
      <c r="BZ390" s="40"/>
      <c r="CA390" s="40"/>
      <c r="CB390" s="40"/>
      <c r="CC390" s="40"/>
      <c r="CD390" s="40"/>
      <c r="CE390" s="40"/>
      <c r="CF390" s="40"/>
      <c r="CG390" s="40"/>
      <c r="CH390" s="40"/>
      <c r="CI390" s="40"/>
      <c r="CJ390" s="40"/>
      <c r="CK390" s="40"/>
      <c r="CL390" s="40"/>
      <c r="CM390" s="40"/>
      <c r="CN390" s="40"/>
      <c r="CO390" s="40"/>
      <c r="CP390" s="40"/>
      <c r="CQ390" s="40"/>
      <c r="CR390" s="40"/>
      <c r="CS390" s="40"/>
    </row>
    <row r="391" spans="1:97">
      <c r="A391" s="397"/>
      <c r="B391" s="397"/>
      <c r="C391" s="397"/>
      <c r="D391" s="397"/>
      <c r="E391" s="397"/>
      <c r="F391" s="397"/>
      <c r="G391" s="180"/>
      <c r="H391" s="46"/>
      <c r="I391" s="53"/>
      <c r="J391" s="53"/>
      <c r="K391" s="192"/>
      <c r="L391" s="192"/>
      <c r="M391" s="192"/>
      <c r="N391" s="192"/>
      <c r="O391" s="192"/>
      <c r="P391" s="192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40"/>
      <c r="AT391" s="40"/>
      <c r="AU391" s="40"/>
      <c r="AV391" s="40"/>
      <c r="AW391" s="40"/>
      <c r="AX391" s="40"/>
      <c r="AY391" s="40"/>
      <c r="AZ391" s="40"/>
      <c r="BA391" s="40"/>
      <c r="BB391" s="40"/>
      <c r="BC391" s="40"/>
      <c r="BD391" s="40"/>
      <c r="BE391" s="40"/>
      <c r="BF391" s="40"/>
      <c r="BG391" s="40"/>
      <c r="BH391" s="40"/>
      <c r="BI391" s="40"/>
      <c r="BJ391" s="40"/>
      <c r="BK391" s="40"/>
      <c r="BL391" s="40"/>
      <c r="BM391" s="40"/>
      <c r="BN391" s="40"/>
      <c r="BO391" s="40"/>
      <c r="BP391" s="40"/>
      <c r="BQ391" s="40"/>
      <c r="BR391" s="40"/>
      <c r="BS391" s="40"/>
      <c r="BT391" s="40"/>
      <c r="BU391" s="40"/>
      <c r="BV391" s="40"/>
      <c r="BW391" s="40"/>
      <c r="BX391" s="40"/>
      <c r="BY391" s="40"/>
      <c r="BZ391" s="40"/>
      <c r="CA391" s="40"/>
      <c r="CB391" s="40"/>
      <c r="CC391" s="40"/>
      <c r="CD391" s="40"/>
      <c r="CE391" s="40"/>
      <c r="CF391" s="40"/>
      <c r="CG391" s="40"/>
      <c r="CH391" s="40"/>
      <c r="CI391" s="40"/>
      <c r="CJ391" s="40"/>
      <c r="CK391" s="40"/>
      <c r="CL391" s="40"/>
      <c r="CM391" s="40"/>
      <c r="CN391" s="40"/>
      <c r="CO391" s="40"/>
      <c r="CP391" s="40"/>
      <c r="CQ391" s="40"/>
      <c r="CR391" s="40"/>
      <c r="CS391" s="40"/>
    </row>
    <row r="392" spans="1:97">
      <c r="A392" s="397"/>
      <c r="B392" s="397"/>
      <c r="C392" s="397"/>
      <c r="D392" s="397"/>
      <c r="E392" s="397"/>
      <c r="F392" s="397"/>
      <c r="G392" s="180"/>
      <c r="H392" s="46"/>
      <c r="I392" s="53"/>
      <c r="J392" s="53"/>
      <c r="K392" s="192"/>
      <c r="L392" s="192"/>
      <c r="M392" s="192"/>
      <c r="N392" s="192"/>
      <c r="O392" s="192"/>
      <c r="P392" s="192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  <c r="BH392" s="40"/>
      <c r="BI392" s="40"/>
      <c r="BJ392" s="40"/>
      <c r="BK392" s="40"/>
      <c r="BL392" s="40"/>
      <c r="BM392" s="40"/>
      <c r="BN392" s="40"/>
      <c r="BO392" s="40"/>
      <c r="BP392" s="40"/>
      <c r="BQ392" s="40"/>
      <c r="BR392" s="40"/>
      <c r="BS392" s="40"/>
      <c r="BT392" s="40"/>
      <c r="BU392" s="40"/>
      <c r="BV392" s="40"/>
      <c r="BW392" s="40"/>
      <c r="BX392" s="40"/>
      <c r="BY392" s="40"/>
      <c r="BZ392" s="40"/>
      <c r="CA392" s="40"/>
      <c r="CB392" s="40"/>
      <c r="CC392" s="40"/>
      <c r="CD392" s="40"/>
      <c r="CE392" s="40"/>
      <c r="CF392" s="40"/>
      <c r="CG392" s="40"/>
      <c r="CH392" s="40"/>
      <c r="CI392" s="40"/>
      <c r="CJ392" s="40"/>
      <c r="CK392" s="40"/>
      <c r="CL392" s="40"/>
      <c r="CM392" s="40"/>
      <c r="CN392" s="40"/>
      <c r="CO392" s="40"/>
      <c r="CP392" s="40"/>
      <c r="CQ392" s="40"/>
      <c r="CR392" s="40"/>
      <c r="CS392" s="40"/>
    </row>
    <row r="393" spans="1:97">
      <c r="A393" s="397"/>
      <c r="B393" s="397"/>
      <c r="C393" s="397"/>
      <c r="D393" s="397"/>
      <c r="E393" s="397"/>
      <c r="F393" s="397"/>
      <c r="G393" s="180"/>
      <c r="H393" s="46"/>
      <c r="I393" s="53"/>
      <c r="J393" s="53"/>
      <c r="K393" s="192"/>
      <c r="L393" s="192"/>
      <c r="M393" s="192"/>
      <c r="N393" s="192"/>
      <c r="O393" s="192"/>
      <c r="P393" s="192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40"/>
      <c r="AT393" s="40"/>
      <c r="AU393" s="40"/>
      <c r="AV393" s="40"/>
      <c r="AW393" s="40"/>
      <c r="AX393" s="40"/>
      <c r="AY393" s="40"/>
      <c r="AZ393" s="40"/>
      <c r="BA393" s="40"/>
      <c r="BB393" s="40"/>
      <c r="BC393" s="40"/>
      <c r="BD393" s="40"/>
      <c r="BE393" s="40"/>
      <c r="BF393" s="40"/>
      <c r="BG393" s="40"/>
      <c r="BH393" s="40"/>
      <c r="BI393" s="40"/>
      <c r="BJ393" s="40"/>
      <c r="BK393" s="40"/>
      <c r="BL393" s="40"/>
      <c r="BM393" s="40"/>
      <c r="BN393" s="40"/>
      <c r="BO393" s="40"/>
      <c r="BP393" s="40"/>
      <c r="BQ393" s="40"/>
      <c r="BR393" s="40"/>
      <c r="BS393" s="40"/>
      <c r="BT393" s="40"/>
      <c r="BU393" s="40"/>
      <c r="BV393" s="40"/>
      <c r="BW393" s="40"/>
      <c r="BX393" s="40"/>
      <c r="BY393" s="40"/>
      <c r="BZ393" s="40"/>
      <c r="CA393" s="40"/>
      <c r="CB393" s="40"/>
      <c r="CC393" s="40"/>
      <c r="CD393" s="40"/>
      <c r="CE393" s="40"/>
      <c r="CF393" s="40"/>
      <c r="CG393" s="40"/>
      <c r="CH393" s="40"/>
      <c r="CI393" s="40"/>
      <c r="CJ393" s="40"/>
      <c r="CK393" s="40"/>
      <c r="CL393" s="40"/>
      <c r="CM393" s="40"/>
      <c r="CN393" s="40"/>
      <c r="CO393" s="40"/>
      <c r="CP393" s="40"/>
      <c r="CQ393" s="40"/>
      <c r="CR393" s="40"/>
      <c r="CS393" s="40"/>
    </row>
    <row r="394" spans="1:97">
      <c r="A394" s="397"/>
      <c r="B394" s="397"/>
      <c r="C394" s="397"/>
      <c r="D394" s="397"/>
      <c r="E394" s="397"/>
      <c r="F394" s="397"/>
      <c r="G394" s="180"/>
      <c r="H394" s="46"/>
      <c r="I394" s="53"/>
      <c r="J394" s="53"/>
      <c r="K394" s="192"/>
      <c r="L394" s="192"/>
      <c r="M394" s="192"/>
      <c r="N394" s="192"/>
      <c r="O394" s="192"/>
      <c r="P394" s="192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40"/>
      <c r="AT394" s="40"/>
      <c r="AU394" s="40"/>
      <c r="AV394" s="40"/>
      <c r="AW394" s="40"/>
      <c r="AX394" s="40"/>
      <c r="AY394" s="40"/>
      <c r="AZ394" s="40"/>
      <c r="BA394" s="40"/>
      <c r="BB394" s="40"/>
      <c r="BC394" s="40"/>
      <c r="BD394" s="40"/>
      <c r="BE394" s="40"/>
      <c r="BF394" s="40"/>
      <c r="BG394" s="40"/>
      <c r="BH394" s="40"/>
      <c r="BI394" s="40"/>
      <c r="BJ394" s="40"/>
      <c r="BK394" s="40"/>
      <c r="BL394" s="40"/>
      <c r="BM394" s="40"/>
      <c r="BN394" s="40"/>
      <c r="BO394" s="40"/>
      <c r="BP394" s="40"/>
      <c r="BQ394" s="40"/>
      <c r="BR394" s="40"/>
      <c r="BS394" s="40"/>
      <c r="BT394" s="40"/>
      <c r="BU394" s="40"/>
      <c r="BV394" s="40"/>
      <c r="BW394" s="40"/>
      <c r="BX394" s="40"/>
      <c r="BY394" s="40"/>
      <c r="BZ394" s="40"/>
      <c r="CA394" s="40"/>
      <c r="CB394" s="40"/>
      <c r="CC394" s="40"/>
      <c r="CD394" s="40"/>
      <c r="CE394" s="40"/>
      <c r="CF394" s="40"/>
      <c r="CG394" s="40"/>
      <c r="CH394" s="40"/>
      <c r="CI394" s="40"/>
      <c r="CJ394" s="40"/>
      <c r="CK394" s="40"/>
      <c r="CL394" s="40"/>
      <c r="CM394" s="40"/>
      <c r="CN394" s="40"/>
      <c r="CO394" s="40"/>
      <c r="CP394" s="40"/>
      <c r="CQ394" s="40"/>
      <c r="CR394" s="40"/>
      <c r="CS394" s="40"/>
    </row>
    <row r="395" spans="1:97">
      <c r="A395" s="397"/>
      <c r="B395" s="397"/>
      <c r="C395" s="397"/>
      <c r="D395" s="397"/>
      <c r="E395" s="397"/>
      <c r="F395" s="397"/>
      <c r="G395" s="180"/>
      <c r="H395" s="46"/>
      <c r="I395" s="53"/>
      <c r="J395" s="53"/>
      <c r="K395" s="192"/>
      <c r="L395" s="192"/>
      <c r="M395" s="192"/>
      <c r="N395" s="192"/>
      <c r="O395" s="192"/>
      <c r="P395" s="192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40"/>
      <c r="AT395" s="40"/>
      <c r="AU395" s="40"/>
      <c r="AV395" s="40"/>
      <c r="AW395" s="40"/>
      <c r="AX395" s="40"/>
      <c r="AY395" s="40"/>
      <c r="AZ395" s="40"/>
      <c r="BA395" s="40"/>
      <c r="BB395" s="40"/>
      <c r="BC395" s="40"/>
      <c r="BD395" s="40"/>
      <c r="BE395" s="40"/>
      <c r="BF395" s="40"/>
      <c r="BG395" s="40"/>
      <c r="BH395" s="40"/>
      <c r="BI395" s="40"/>
      <c r="BJ395" s="40"/>
      <c r="BK395" s="40"/>
      <c r="BL395" s="40"/>
      <c r="BM395" s="40"/>
      <c r="BN395" s="40"/>
      <c r="BO395" s="40"/>
      <c r="BP395" s="40"/>
      <c r="BQ395" s="40"/>
      <c r="BR395" s="40"/>
      <c r="BS395" s="40"/>
      <c r="BT395" s="40"/>
      <c r="BU395" s="40"/>
      <c r="BV395" s="40"/>
      <c r="BW395" s="40"/>
      <c r="BX395" s="40"/>
      <c r="BY395" s="40"/>
      <c r="BZ395" s="40"/>
      <c r="CA395" s="40"/>
      <c r="CB395" s="40"/>
      <c r="CC395" s="40"/>
      <c r="CD395" s="40"/>
      <c r="CE395" s="40"/>
      <c r="CF395" s="40"/>
      <c r="CG395" s="40"/>
      <c r="CH395" s="40"/>
      <c r="CI395" s="40"/>
      <c r="CJ395" s="40"/>
      <c r="CK395" s="40"/>
      <c r="CL395" s="40"/>
      <c r="CM395" s="40"/>
      <c r="CN395" s="40"/>
      <c r="CO395" s="40"/>
      <c r="CP395" s="40"/>
      <c r="CQ395" s="40"/>
      <c r="CR395" s="40"/>
      <c r="CS395" s="40"/>
    </row>
    <row r="396" spans="1:97">
      <c r="A396" s="397"/>
      <c r="B396" s="397"/>
      <c r="C396" s="397"/>
      <c r="D396" s="397"/>
      <c r="E396" s="397"/>
      <c r="F396" s="397"/>
      <c r="G396" s="180"/>
      <c r="H396" s="46"/>
      <c r="I396" s="53"/>
      <c r="J396" s="53"/>
      <c r="K396" s="192"/>
      <c r="L396" s="192"/>
      <c r="M396" s="192"/>
      <c r="N396" s="192"/>
      <c r="O396" s="192"/>
      <c r="P396" s="192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  <c r="BH396" s="40"/>
      <c r="BI396" s="40"/>
      <c r="BJ396" s="40"/>
      <c r="BK396" s="40"/>
      <c r="BL396" s="40"/>
      <c r="BM396" s="40"/>
      <c r="BN396" s="40"/>
      <c r="BO396" s="40"/>
      <c r="BP396" s="40"/>
      <c r="BQ396" s="40"/>
      <c r="BR396" s="40"/>
      <c r="BS396" s="40"/>
      <c r="BT396" s="40"/>
      <c r="BU396" s="40"/>
      <c r="BV396" s="40"/>
      <c r="BW396" s="40"/>
      <c r="BX396" s="40"/>
      <c r="BY396" s="40"/>
      <c r="BZ396" s="40"/>
      <c r="CA396" s="40"/>
      <c r="CB396" s="40"/>
      <c r="CC396" s="40"/>
      <c r="CD396" s="40"/>
      <c r="CE396" s="40"/>
      <c r="CF396" s="40"/>
      <c r="CG396" s="40"/>
      <c r="CH396" s="40"/>
      <c r="CI396" s="40"/>
      <c r="CJ396" s="40"/>
      <c r="CK396" s="40"/>
      <c r="CL396" s="40"/>
      <c r="CM396" s="40"/>
      <c r="CN396" s="40"/>
      <c r="CO396" s="40"/>
      <c r="CP396" s="40"/>
      <c r="CQ396" s="40"/>
      <c r="CR396" s="40"/>
      <c r="CS396" s="40"/>
    </row>
    <row r="397" spans="1:97">
      <c r="A397" s="397"/>
      <c r="B397" s="397"/>
      <c r="C397" s="397"/>
      <c r="D397" s="397"/>
      <c r="E397" s="397"/>
      <c r="F397" s="397"/>
      <c r="G397" s="180"/>
      <c r="H397" s="46"/>
      <c r="I397" s="53"/>
      <c r="J397" s="53"/>
      <c r="K397" s="192"/>
      <c r="L397" s="192"/>
      <c r="M397" s="192"/>
      <c r="N397" s="192"/>
      <c r="O397" s="192"/>
      <c r="P397" s="192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40"/>
      <c r="AY397" s="40"/>
      <c r="AZ397" s="40"/>
      <c r="BA397" s="40"/>
      <c r="BB397" s="40"/>
      <c r="BC397" s="40"/>
      <c r="BD397" s="40"/>
      <c r="BE397" s="40"/>
      <c r="BF397" s="40"/>
      <c r="BG397" s="40"/>
      <c r="BH397" s="40"/>
      <c r="BI397" s="40"/>
      <c r="BJ397" s="40"/>
      <c r="BK397" s="40"/>
      <c r="BL397" s="40"/>
      <c r="BM397" s="40"/>
      <c r="BN397" s="40"/>
      <c r="BO397" s="40"/>
      <c r="BP397" s="40"/>
      <c r="BQ397" s="40"/>
      <c r="BR397" s="40"/>
      <c r="BS397" s="40"/>
      <c r="BT397" s="40"/>
      <c r="BU397" s="40"/>
      <c r="BV397" s="40"/>
      <c r="BW397" s="40"/>
      <c r="BX397" s="40"/>
      <c r="BY397" s="40"/>
      <c r="BZ397" s="40"/>
      <c r="CA397" s="40"/>
      <c r="CB397" s="40"/>
      <c r="CC397" s="40"/>
      <c r="CD397" s="40"/>
      <c r="CE397" s="40"/>
      <c r="CF397" s="40"/>
      <c r="CG397" s="40"/>
      <c r="CH397" s="40"/>
      <c r="CI397" s="40"/>
      <c r="CJ397" s="40"/>
      <c r="CK397" s="40"/>
      <c r="CL397" s="40"/>
      <c r="CM397" s="40"/>
      <c r="CN397" s="40"/>
      <c r="CO397" s="40"/>
      <c r="CP397" s="40"/>
      <c r="CQ397" s="40"/>
      <c r="CR397" s="40"/>
      <c r="CS397" s="40"/>
    </row>
    <row r="398" spans="1:97">
      <c r="A398" s="397"/>
      <c r="B398" s="397"/>
      <c r="C398" s="397"/>
      <c r="D398" s="397"/>
      <c r="E398" s="397"/>
      <c r="F398" s="397"/>
      <c r="G398" s="180"/>
      <c r="H398" s="46"/>
      <c r="I398" s="53"/>
      <c r="J398" s="53"/>
      <c r="K398" s="192"/>
      <c r="L398" s="192"/>
      <c r="M398" s="192"/>
      <c r="N398" s="192"/>
      <c r="O398" s="192"/>
      <c r="P398" s="192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40"/>
      <c r="AT398" s="40"/>
      <c r="AU398" s="40"/>
      <c r="AV398" s="40"/>
      <c r="AW398" s="40"/>
      <c r="AX398" s="40"/>
      <c r="AY398" s="40"/>
      <c r="AZ398" s="40"/>
      <c r="BA398" s="40"/>
      <c r="BB398" s="40"/>
      <c r="BC398" s="40"/>
      <c r="BD398" s="40"/>
      <c r="BE398" s="40"/>
      <c r="BF398" s="40"/>
      <c r="BG398" s="40"/>
      <c r="BH398" s="40"/>
      <c r="BI398" s="40"/>
      <c r="BJ398" s="40"/>
      <c r="BK398" s="40"/>
      <c r="BL398" s="40"/>
      <c r="BM398" s="40"/>
      <c r="BN398" s="40"/>
      <c r="BO398" s="40"/>
      <c r="BP398" s="40"/>
      <c r="BQ398" s="40"/>
      <c r="BR398" s="40"/>
      <c r="BS398" s="40"/>
      <c r="BT398" s="40"/>
      <c r="BU398" s="40"/>
      <c r="BV398" s="40"/>
      <c r="BW398" s="40"/>
      <c r="BX398" s="40"/>
      <c r="BY398" s="40"/>
      <c r="BZ398" s="40"/>
      <c r="CA398" s="40"/>
      <c r="CB398" s="40"/>
      <c r="CC398" s="40"/>
      <c r="CD398" s="40"/>
      <c r="CE398" s="40"/>
      <c r="CF398" s="40"/>
      <c r="CG398" s="40"/>
      <c r="CH398" s="40"/>
      <c r="CI398" s="40"/>
      <c r="CJ398" s="40"/>
      <c r="CK398" s="40"/>
      <c r="CL398" s="40"/>
      <c r="CM398" s="40"/>
      <c r="CN398" s="40"/>
      <c r="CO398" s="40"/>
      <c r="CP398" s="40"/>
      <c r="CQ398" s="40"/>
      <c r="CR398" s="40"/>
      <c r="CS398" s="40"/>
    </row>
    <row r="399" spans="1:97">
      <c r="A399" s="397"/>
      <c r="B399" s="397"/>
      <c r="C399" s="397"/>
      <c r="D399" s="397"/>
      <c r="E399" s="397"/>
      <c r="F399" s="397"/>
      <c r="G399" s="180"/>
      <c r="H399" s="46"/>
      <c r="I399" s="53"/>
      <c r="J399" s="53"/>
      <c r="K399" s="192"/>
      <c r="L399" s="192"/>
      <c r="M399" s="192"/>
      <c r="N399" s="192"/>
      <c r="O399" s="192"/>
      <c r="P399" s="192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  <c r="BH399" s="40"/>
      <c r="BI399" s="40"/>
      <c r="BJ399" s="40"/>
      <c r="BK399" s="40"/>
      <c r="BL399" s="40"/>
      <c r="BM399" s="40"/>
      <c r="BN399" s="40"/>
      <c r="BO399" s="40"/>
      <c r="BP399" s="40"/>
      <c r="BQ399" s="40"/>
      <c r="BR399" s="40"/>
      <c r="BS399" s="40"/>
      <c r="BT399" s="40"/>
      <c r="BU399" s="40"/>
      <c r="BV399" s="40"/>
      <c r="BW399" s="40"/>
      <c r="BX399" s="40"/>
      <c r="BY399" s="40"/>
      <c r="BZ399" s="40"/>
      <c r="CA399" s="40"/>
      <c r="CB399" s="40"/>
      <c r="CC399" s="40"/>
      <c r="CD399" s="40"/>
      <c r="CE399" s="40"/>
      <c r="CF399" s="40"/>
      <c r="CG399" s="40"/>
      <c r="CH399" s="40"/>
      <c r="CI399" s="40"/>
      <c r="CJ399" s="40"/>
      <c r="CK399" s="40"/>
      <c r="CL399" s="40"/>
      <c r="CM399" s="40"/>
      <c r="CN399" s="40"/>
      <c r="CO399" s="40"/>
      <c r="CP399" s="40"/>
      <c r="CQ399" s="40"/>
      <c r="CR399" s="40"/>
      <c r="CS399" s="40"/>
    </row>
    <row r="400" spans="1:97">
      <c r="A400" s="397"/>
      <c r="B400" s="397"/>
      <c r="C400" s="397"/>
      <c r="D400" s="397"/>
      <c r="E400" s="397"/>
      <c r="F400" s="397"/>
      <c r="G400" s="180"/>
      <c r="H400" s="46"/>
      <c r="I400" s="53"/>
      <c r="J400" s="53"/>
      <c r="K400" s="192"/>
      <c r="L400" s="192"/>
      <c r="M400" s="192"/>
      <c r="N400" s="192"/>
      <c r="O400" s="192"/>
      <c r="P400" s="192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40"/>
      <c r="AT400" s="40"/>
      <c r="AU400" s="40"/>
      <c r="AV400" s="40"/>
      <c r="AW400" s="40"/>
      <c r="AX400" s="40"/>
      <c r="AY400" s="40"/>
      <c r="AZ400" s="40"/>
      <c r="BA400" s="40"/>
      <c r="BB400" s="40"/>
      <c r="BC400" s="40"/>
      <c r="BD400" s="40"/>
      <c r="BE400" s="40"/>
      <c r="BF400" s="40"/>
      <c r="BG400" s="40"/>
      <c r="BH400" s="40"/>
      <c r="BI400" s="40"/>
      <c r="BJ400" s="40"/>
      <c r="BK400" s="40"/>
      <c r="BL400" s="40"/>
      <c r="BM400" s="40"/>
      <c r="BN400" s="40"/>
      <c r="BO400" s="40"/>
      <c r="BP400" s="40"/>
      <c r="BQ400" s="40"/>
      <c r="BR400" s="40"/>
      <c r="BS400" s="40"/>
      <c r="BT400" s="40"/>
      <c r="BU400" s="40"/>
      <c r="BV400" s="40"/>
      <c r="BW400" s="40"/>
      <c r="BX400" s="40"/>
      <c r="BY400" s="40"/>
      <c r="BZ400" s="40"/>
      <c r="CA400" s="40"/>
      <c r="CB400" s="40"/>
      <c r="CC400" s="40"/>
      <c r="CD400" s="40"/>
      <c r="CE400" s="40"/>
      <c r="CF400" s="40"/>
      <c r="CG400" s="40"/>
      <c r="CH400" s="40"/>
      <c r="CI400" s="40"/>
      <c r="CJ400" s="40"/>
      <c r="CK400" s="40"/>
      <c r="CL400" s="40"/>
      <c r="CM400" s="40"/>
      <c r="CN400" s="40"/>
      <c r="CO400" s="40"/>
      <c r="CP400" s="40"/>
      <c r="CQ400" s="40"/>
      <c r="CR400" s="40"/>
      <c r="CS400" s="40"/>
    </row>
    <row r="401" spans="1:97">
      <c r="A401" s="397"/>
      <c r="B401" s="397"/>
      <c r="C401" s="397"/>
      <c r="D401" s="397"/>
      <c r="E401" s="397"/>
      <c r="F401" s="397"/>
      <c r="G401" s="180"/>
      <c r="H401" s="46"/>
      <c r="I401" s="53"/>
      <c r="J401" s="53"/>
      <c r="K401" s="192"/>
      <c r="L401" s="192"/>
      <c r="M401" s="192"/>
      <c r="N401" s="192"/>
      <c r="O401" s="192"/>
      <c r="P401" s="192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40"/>
      <c r="AX401" s="40"/>
      <c r="AY401" s="40"/>
      <c r="AZ401" s="40"/>
      <c r="BA401" s="40"/>
      <c r="BB401" s="40"/>
      <c r="BC401" s="40"/>
      <c r="BD401" s="40"/>
      <c r="BE401" s="40"/>
      <c r="BF401" s="40"/>
      <c r="BG401" s="40"/>
      <c r="BH401" s="40"/>
      <c r="BI401" s="40"/>
      <c r="BJ401" s="40"/>
      <c r="BK401" s="40"/>
      <c r="BL401" s="40"/>
      <c r="BM401" s="40"/>
      <c r="BN401" s="40"/>
      <c r="BO401" s="40"/>
      <c r="BP401" s="40"/>
      <c r="BQ401" s="40"/>
      <c r="BR401" s="40"/>
      <c r="BS401" s="40"/>
      <c r="BT401" s="40"/>
      <c r="BU401" s="40"/>
      <c r="BV401" s="40"/>
      <c r="BW401" s="40"/>
      <c r="BX401" s="40"/>
      <c r="BY401" s="40"/>
      <c r="BZ401" s="40"/>
      <c r="CA401" s="40"/>
      <c r="CB401" s="40"/>
      <c r="CC401" s="40"/>
      <c r="CD401" s="40"/>
      <c r="CE401" s="40"/>
      <c r="CF401" s="40"/>
      <c r="CG401" s="40"/>
      <c r="CH401" s="40"/>
      <c r="CI401" s="40"/>
      <c r="CJ401" s="40"/>
      <c r="CK401" s="40"/>
      <c r="CL401" s="40"/>
      <c r="CM401" s="40"/>
      <c r="CN401" s="40"/>
      <c r="CO401" s="40"/>
      <c r="CP401" s="40"/>
      <c r="CQ401" s="40"/>
      <c r="CR401" s="40"/>
      <c r="CS401" s="40"/>
    </row>
    <row r="402" spans="1:97">
      <c r="A402" s="397"/>
      <c r="B402" s="397"/>
      <c r="C402" s="397"/>
      <c r="D402" s="397"/>
      <c r="E402" s="397"/>
      <c r="F402" s="397"/>
      <c r="G402" s="180"/>
      <c r="H402" s="46"/>
      <c r="I402" s="53"/>
      <c r="J402" s="53"/>
      <c r="K402" s="192"/>
      <c r="L402" s="192"/>
      <c r="M402" s="192"/>
      <c r="N402" s="192"/>
      <c r="O402" s="192"/>
      <c r="P402" s="192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  <c r="BH402" s="40"/>
      <c r="BI402" s="40"/>
      <c r="BJ402" s="40"/>
      <c r="BK402" s="40"/>
      <c r="BL402" s="40"/>
      <c r="BM402" s="40"/>
      <c r="BN402" s="40"/>
      <c r="BO402" s="40"/>
      <c r="BP402" s="40"/>
      <c r="BQ402" s="40"/>
      <c r="BR402" s="40"/>
      <c r="BS402" s="40"/>
      <c r="BT402" s="40"/>
      <c r="BU402" s="40"/>
      <c r="BV402" s="40"/>
      <c r="BW402" s="40"/>
      <c r="BX402" s="40"/>
      <c r="BY402" s="40"/>
      <c r="BZ402" s="40"/>
      <c r="CA402" s="40"/>
      <c r="CB402" s="40"/>
      <c r="CC402" s="40"/>
      <c r="CD402" s="40"/>
      <c r="CE402" s="40"/>
      <c r="CF402" s="40"/>
      <c r="CG402" s="40"/>
      <c r="CH402" s="40"/>
      <c r="CI402" s="40"/>
      <c r="CJ402" s="40"/>
      <c r="CK402" s="40"/>
      <c r="CL402" s="40"/>
      <c r="CM402" s="40"/>
      <c r="CN402" s="40"/>
      <c r="CO402" s="40"/>
      <c r="CP402" s="40"/>
      <c r="CQ402" s="40"/>
      <c r="CR402" s="40"/>
      <c r="CS402" s="40"/>
    </row>
    <row r="403" spans="1:97">
      <c r="A403" s="397"/>
      <c r="B403" s="397"/>
      <c r="C403" s="397"/>
      <c r="D403" s="397"/>
      <c r="E403" s="397"/>
      <c r="F403" s="397"/>
      <c r="G403" s="180"/>
      <c r="H403" s="46"/>
      <c r="I403" s="53"/>
      <c r="J403" s="53"/>
      <c r="K403" s="192"/>
      <c r="L403" s="192"/>
      <c r="M403" s="192"/>
      <c r="N403" s="192"/>
      <c r="O403" s="192"/>
      <c r="P403" s="192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40"/>
      <c r="AX403" s="40"/>
      <c r="AY403" s="40"/>
      <c r="AZ403" s="40"/>
      <c r="BA403" s="40"/>
      <c r="BB403" s="40"/>
      <c r="BC403" s="40"/>
      <c r="BD403" s="40"/>
      <c r="BE403" s="40"/>
      <c r="BF403" s="40"/>
      <c r="BG403" s="40"/>
      <c r="BH403" s="40"/>
      <c r="BI403" s="40"/>
      <c r="BJ403" s="40"/>
      <c r="BK403" s="40"/>
      <c r="BL403" s="40"/>
      <c r="BM403" s="40"/>
      <c r="BN403" s="40"/>
      <c r="BO403" s="40"/>
      <c r="BP403" s="40"/>
      <c r="BQ403" s="40"/>
      <c r="BR403" s="40"/>
      <c r="BS403" s="40"/>
      <c r="BT403" s="40"/>
      <c r="BU403" s="40"/>
      <c r="BV403" s="40"/>
      <c r="BW403" s="40"/>
      <c r="BX403" s="40"/>
      <c r="BY403" s="40"/>
      <c r="BZ403" s="40"/>
      <c r="CA403" s="40"/>
      <c r="CB403" s="40"/>
      <c r="CC403" s="40"/>
      <c r="CD403" s="40"/>
      <c r="CE403" s="40"/>
      <c r="CF403" s="40"/>
      <c r="CG403" s="40"/>
      <c r="CH403" s="40"/>
      <c r="CI403" s="40"/>
      <c r="CJ403" s="40"/>
      <c r="CK403" s="40"/>
      <c r="CL403" s="40"/>
      <c r="CM403" s="40"/>
      <c r="CN403" s="40"/>
      <c r="CO403" s="40"/>
      <c r="CP403" s="40"/>
      <c r="CQ403" s="40"/>
      <c r="CR403" s="40"/>
      <c r="CS403" s="40"/>
    </row>
    <row r="404" spans="1:97">
      <c r="A404" s="397"/>
      <c r="B404" s="397"/>
      <c r="C404" s="397"/>
      <c r="D404" s="397"/>
      <c r="E404" s="397"/>
      <c r="F404" s="397"/>
      <c r="G404" s="180"/>
      <c r="H404" s="46"/>
      <c r="I404" s="53"/>
      <c r="J404" s="53"/>
      <c r="K404" s="192"/>
      <c r="L404" s="192"/>
      <c r="M404" s="192"/>
      <c r="N404" s="192"/>
      <c r="O404" s="192"/>
      <c r="P404" s="192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40"/>
      <c r="AT404" s="40"/>
      <c r="AU404" s="40"/>
      <c r="AV404" s="40"/>
      <c r="AW404" s="40"/>
      <c r="AX404" s="40"/>
      <c r="AY404" s="40"/>
      <c r="AZ404" s="40"/>
      <c r="BA404" s="40"/>
      <c r="BB404" s="40"/>
      <c r="BC404" s="40"/>
      <c r="BD404" s="40"/>
      <c r="BE404" s="40"/>
      <c r="BF404" s="40"/>
      <c r="BG404" s="40"/>
      <c r="BH404" s="40"/>
      <c r="BI404" s="40"/>
      <c r="BJ404" s="40"/>
      <c r="BK404" s="40"/>
      <c r="BL404" s="40"/>
      <c r="BM404" s="40"/>
      <c r="BN404" s="40"/>
      <c r="BO404" s="40"/>
      <c r="BP404" s="40"/>
      <c r="BQ404" s="40"/>
      <c r="BR404" s="40"/>
      <c r="BS404" s="40"/>
      <c r="BT404" s="40"/>
      <c r="BU404" s="40"/>
      <c r="BV404" s="40"/>
      <c r="BW404" s="40"/>
      <c r="BX404" s="40"/>
      <c r="BY404" s="40"/>
      <c r="BZ404" s="40"/>
      <c r="CA404" s="40"/>
      <c r="CB404" s="40"/>
      <c r="CC404" s="40"/>
      <c r="CD404" s="40"/>
      <c r="CE404" s="40"/>
      <c r="CF404" s="40"/>
      <c r="CG404" s="40"/>
      <c r="CH404" s="40"/>
      <c r="CI404" s="40"/>
      <c r="CJ404" s="40"/>
      <c r="CK404" s="40"/>
      <c r="CL404" s="40"/>
      <c r="CM404" s="40"/>
      <c r="CN404" s="40"/>
      <c r="CO404" s="40"/>
      <c r="CP404" s="40"/>
      <c r="CQ404" s="40"/>
      <c r="CR404" s="40"/>
      <c r="CS404" s="40"/>
    </row>
    <row r="405" spans="1:97">
      <c r="A405" s="397"/>
      <c r="B405" s="397"/>
      <c r="C405" s="397"/>
      <c r="D405" s="397"/>
      <c r="E405" s="397"/>
      <c r="F405" s="397"/>
      <c r="G405" s="180"/>
      <c r="H405" s="46"/>
      <c r="I405" s="53"/>
      <c r="J405" s="53"/>
      <c r="K405" s="192"/>
      <c r="L405" s="192"/>
      <c r="M405" s="192"/>
      <c r="N405" s="192"/>
      <c r="O405" s="192"/>
      <c r="P405" s="192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40"/>
      <c r="AT405" s="40"/>
      <c r="AU405" s="40"/>
      <c r="AV405" s="40"/>
      <c r="AW405" s="40"/>
      <c r="AX405" s="40"/>
      <c r="AY405" s="40"/>
      <c r="AZ405" s="40"/>
      <c r="BA405" s="40"/>
      <c r="BB405" s="40"/>
      <c r="BC405" s="40"/>
      <c r="BD405" s="40"/>
      <c r="BE405" s="40"/>
      <c r="BF405" s="40"/>
      <c r="BG405" s="40"/>
      <c r="BH405" s="40"/>
      <c r="BI405" s="40"/>
      <c r="BJ405" s="40"/>
      <c r="BK405" s="40"/>
      <c r="BL405" s="40"/>
      <c r="BM405" s="40"/>
      <c r="BN405" s="40"/>
      <c r="BO405" s="40"/>
      <c r="BP405" s="40"/>
      <c r="BQ405" s="40"/>
      <c r="BR405" s="40"/>
      <c r="BS405" s="40"/>
      <c r="BT405" s="40"/>
      <c r="BU405" s="40"/>
      <c r="BV405" s="40"/>
      <c r="BW405" s="40"/>
      <c r="BX405" s="40"/>
      <c r="BY405" s="40"/>
      <c r="BZ405" s="40"/>
      <c r="CA405" s="40"/>
      <c r="CB405" s="40"/>
      <c r="CC405" s="40"/>
      <c r="CD405" s="40"/>
      <c r="CE405" s="40"/>
      <c r="CF405" s="40"/>
      <c r="CG405" s="40"/>
      <c r="CH405" s="40"/>
      <c r="CI405" s="40"/>
      <c r="CJ405" s="40"/>
      <c r="CK405" s="40"/>
      <c r="CL405" s="40"/>
      <c r="CM405" s="40"/>
      <c r="CN405" s="40"/>
      <c r="CO405" s="40"/>
      <c r="CP405" s="40"/>
      <c r="CQ405" s="40"/>
      <c r="CR405" s="40"/>
      <c r="CS405" s="40"/>
    </row>
    <row r="406" spans="1:97">
      <c r="A406" s="397"/>
      <c r="B406" s="397"/>
      <c r="C406" s="397"/>
      <c r="D406" s="397"/>
      <c r="E406" s="397"/>
      <c r="F406" s="397"/>
      <c r="G406" s="180"/>
      <c r="H406" s="46"/>
      <c r="I406" s="53"/>
      <c r="J406" s="53"/>
      <c r="K406" s="192"/>
      <c r="L406" s="192"/>
      <c r="M406" s="192"/>
      <c r="N406" s="192"/>
      <c r="O406" s="192"/>
      <c r="P406" s="192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40"/>
      <c r="AT406" s="40"/>
      <c r="AU406" s="40"/>
      <c r="AV406" s="40"/>
      <c r="AW406" s="40"/>
      <c r="AX406" s="40"/>
      <c r="AY406" s="40"/>
      <c r="AZ406" s="40"/>
      <c r="BA406" s="40"/>
      <c r="BB406" s="40"/>
      <c r="BC406" s="40"/>
      <c r="BD406" s="40"/>
      <c r="BE406" s="40"/>
      <c r="BF406" s="40"/>
      <c r="BG406" s="40"/>
      <c r="BH406" s="40"/>
      <c r="BI406" s="40"/>
      <c r="BJ406" s="40"/>
      <c r="BK406" s="40"/>
      <c r="BL406" s="40"/>
      <c r="BM406" s="40"/>
      <c r="BN406" s="40"/>
      <c r="BO406" s="40"/>
      <c r="BP406" s="40"/>
      <c r="BQ406" s="40"/>
      <c r="BR406" s="40"/>
      <c r="BS406" s="40"/>
      <c r="BT406" s="40"/>
      <c r="BU406" s="40"/>
      <c r="BV406" s="40"/>
      <c r="BW406" s="40"/>
      <c r="BX406" s="40"/>
      <c r="BY406" s="40"/>
      <c r="BZ406" s="40"/>
      <c r="CA406" s="40"/>
      <c r="CB406" s="40"/>
      <c r="CC406" s="40"/>
      <c r="CD406" s="40"/>
      <c r="CE406" s="40"/>
      <c r="CF406" s="40"/>
      <c r="CG406" s="40"/>
      <c r="CH406" s="40"/>
      <c r="CI406" s="40"/>
      <c r="CJ406" s="40"/>
      <c r="CK406" s="40"/>
      <c r="CL406" s="40"/>
      <c r="CM406" s="40"/>
      <c r="CN406" s="40"/>
      <c r="CO406" s="40"/>
      <c r="CP406" s="40"/>
      <c r="CQ406" s="40"/>
      <c r="CR406" s="40"/>
      <c r="CS406" s="40"/>
    </row>
    <row r="407" spans="1:97">
      <c r="A407" s="397"/>
      <c r="B407" s="397"/>
      <c r="C407" s="397"/>
      <c r="D407" s="397"/>
      <c r="E407" s="397"/>
      <c r="F407" s="397"/>
      <c r="G407" s="180"/>
      <c r="H407" s="46"/>
      <c r="I407" s="53"/>
      <c r="J407" s="53"/>
      <c r="K407" s="192"/>
      <c r="L407" s="192"/>
      <c r="M407" s="192"/>
      <c r="N407" s="192"/>
      <c r="O407" s="192"/>
      <c r="P407" s="192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40"/>
      <c r="AT407" s="40"/>
      <c r="AU407" s="40"/>
      <c r="AV407" s="40"/>
      <c r="AW407" s="40"/>
      <c r="AX407" s="40"/>
      <c r="AY407" s="40"/>
      <c r="AZ407" s="40"/>
      <c r="BA407" s="40"/>
      <c r="BB407" s="40"/>
      <c r="BC407" s="40"/>
      <c r="BD407" s="40"/>
      <c r="BE407" s="40"/>
      <c r="BF407" s="40"/>
      <c r="BG407" s="40"/>
      <c r="BH407" s="40"/>
      <c r="BI407" s="40"/>
      <c r="BJ407" s="40"/>
      <c r="BK407" s="40"/>
      <c r="BL407" s="40"/>
      <c r="BM407" s="40"/>
      <c r="BN407" s="40"/>
      <c r="BO407" s="40"/>
      <c r="BP407" s="40"/>
      <c r="BQ407" s="40"/>
      <c r="BR407" s="40"/>
      <c r="BS407" s="40"/>
      <c r="BT407" s="40"/>
      <c r="BU407" s="40"/>
      <c r="BV407" s="40"/>
      <c r="BW407" s="40"/>
      <c r="BX407" s="40"/>
      <c r="BY407" s="40"/>
      <c r="BZ407" s="40"/>
      <c r="CA407" s="40"/>
      <c r="CB407" s="40"/>
      <c r="CC407" s="40"/>
      <c r="CD407" s="40"/>
      <c r="CE407" s="40"/>
      <c r="CF407" s="40"/>
      <c r="CG407" s="40"/>
      <c r="CH407" s="40"/>
      <c r="CI407" s="40"/>
      <c r="CJ407" s="40"/>
      <c r="CK407" s="40"/>
      <c r="CL407" s="40"/>
      <c r="CM407" s="40"/>
      <c r="CN407" s="40"/>
      <c r="CO407" s="40"/>
      <c r="CP407" s="40"/>
      <c r="CQ407" s="40"/>
      <c r="CR407" s="40"/>
      <c r="CS407" s="40"/>
    </row>
    <row r="408" spans="1:97">
      <c r="A408" s="397"/>
      <c r="B408" s="397"/>
      <c r="C408" s="397"/>
      <c r="D408" s="397"/>
      <c r="E408" s="397"/>
      <c r="F408" s="397"/>
      <c r="G408" s="180"/>
      <c r="H408" s="46"/>
      <c r="I408" s="53"/>
      <c r="J408" s="53"/>
      <c r="K408" s="192"/>
      <c r="L408" s="192"/>
      <c r="M408" s="192"/>
      <c r="N408" s="192"/>
      <c r="O408" s="192"/>
      <c r="P408" s="192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40"/>
      <c r="AY408" s="40"/>
      <c r="AZ408" s="40"/>
      <c r="BA408" s="40"/>
      <c r="BB408" s="40"/>
      <c r="BC408" s="40"/>
      <c r="BD408" s="40"/>
      <c r="BE408" s="40"/>
      <c r="BF408" s="40"/>
      <c r="BG408" s="40"/>
      <c r="BH408" s="40"/>
      <c r="BI408" s="40"/>
      <c r="BJ408" s="40"/>
      <c r="BK408" s="40"/>
      <c r="BL408" s="40"/>
      <c r="BM408" s="40"/>
      <c r="BN408" s="40"/>
      <c r="BO408" s="40"/>
      <c r="BP408" s="40"/>
      <c r="BQ408" s="40"/>
      <c r="BR408" s="40"/>
      <c r="BS408" s="40"/>
      <c r="BT408" s="40"/>
      <c r="BU408" s="40"/>
      <c r="BV408" s="40"/>
      <c r="BW408" s="40"/>
      <c r="BX408" s="40"/>
      <c r="BY408" s="40"/>
      <c r="BZ408" s="40"/>
      <c r="CA408" s="40"/>
      <c r="CB408" s="40"/>
      <c r="CC408" s="40"/>
      <c r="CD408" s="40"/>
      <c r="CE408" s="40"/>
      <c r="CF408" s="40"/>
      <c r="CG408" s="40"/>
      <c r="CH408" s="40"/>
      <c r="CI408" s="40"/>
      <c r="CJ408" s="40"/>
      <c r="CK408" s="40"/>
      <c r="CL408" s="40"/>
      <c r="CM408" s="40"/>
      <c r="CN408" s="40"/>
      <c r="CO408" s="40"/>
      <c r="CP408" s="40"/>
      <c r="CQ408" s="40"/>
      <c r="CR408" s="40"/>
      <c r="CS408" s="40"/>
    </row>
    <row r="409" spans="1:97">
      <c r="A409" s="397"/>
      <c r="B409" s="397"/>
      <c r="C409" s="397"/>
      <c r="D409" s="397"/>
      <c r="E409" s="397"/>
      <c r="F409" s="397"/>
      <c r="G409" s="180"/>
      <c r="H409" s="46"/>
      <c r="I409" s="53"/>
      <c r="J409" s="53"/>
      <c r="K409" s="192"/>
      <c r="L409" s="192"/>
      <c r="M409" s="192"/>
      <c r="N409" s="192"/>
      <c r="O409" s="192"/>
      <c r="P409" s="192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40"/>
      <c r="AT409" s="40"/>
      <c r="AU409" s="40"/>
      <c r="AV409" s="40"/>
      <c r="AW409" s="40"/>
      <c r="AX409" s="40"/>
      <c r="AY409" s="40"/>
      <c r="AZ409" s="40"/>
      <c r="BA409" s="40"/>
      <c r="BB409" s="40"/>
      <c r="BC409" s="40"/>
      <c r="BD409" s="40"/>
      <c r="BE409" s="40"/>
      <c r="BF409" s="40"/>
      <c r="BG409" s="40"/>
      <c r="BH409" s="40"/>
      <c r="BI409" s="40"/>
      <c r="BJ409" s="40"/>
      <c r="BK409" s="40"/>
      <c r="BL409" s="40"/>
      <c r="BM409" s="40"/>
      <c r="BN409" s="40"/>
      <c r="BO409" s="40"/>
      <c r="BP409" s="40"/>
      <c r="BQ409" s="40"/>
      <c r="BR409" s="40"/>
      <c r="BS409" s="40"/>
      <c r="BT409" s="40"/>
      <c r="BU409" s="40"/>
      <c r="BV409" s="40"/>
      <c r="BW409" s="40"/>
      <c r="BX409" s="40"/>
      <c r="BY409" s="40"/>
      <c r="BZ409" s="40"/>
      <c r="CA409" s="40"/>
      <c r="CB409" s="40"/>
      <c r="CC409" s="40"/>
      <c r="CD409" s="40"/>
      <c r="CE409" s="40"/>
      <c r="CF409" s="40"/>
      <c r="CG409" s="40"/>
      <c r="CH409" s="40"/>
      <c r="CI409" s="40"/>
      <c r="CJ409" s="40"/>
      <c r="CK409" s="40"/>
      <c r="CL409" s="40"/>
      <c r="CM409" s="40"/>
      <c r="CN409" s="40"/>
      <c r="CO409" s="40"/>
      <c r="CP409" s="40"/>
      <c r="CQ409" s="40"/>
      <c r="CR409" s="40"/>
      <c r="CS409" s="40"/>
    </row>
    <row r="410" spans="1:97">
      <c r="A410" s="397"/>
      <c r="B410" s="397"/>
      <c r="C410" s="397"/>
      <c r="D410" s="397"/>
      <c r="E410" s="397"/>
      <c r="F410" s="397"/>
      <c r="G410" s="180"/>
      <c r="H410" s="46"/>
      <c r="I410" s="53"/>
      <c r="J410" s="53"/>
      <c r="K410" s="192"/>
      <c r="L410" s="192"/>
      <c r="M410" s="192"/>
      <c r="N410" s="192"/>
      <c r="O410" s="192"/>
      <c r="P410" s="192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40"/>
      <c r="AY410" s="40"/>
      <c r="AZ410" s="40"/>
      <c r="BA410" s="40"/>
      <c r="BB410" s="40"/>
      <c r="BC410" s="40"/>
      <c r="BD410" s="40"/>
      <c r="BE410" s="40"/>
      <c r="BF410" s="40"/>
      <c r="BG410" s="40"/>
      <c r="BH410" s="40"/>
      <c r="BI410" s="40"/>
      <c r="BJ410" s="40"/>
      <c r="BK410" s="40"/>
      <c r="BL410" s="40"/>
      <c r="BM410" s="40"/>
      <c r="BN410" s="40"/>
      <c r="BO410" s="40"/>
      <c r="BP410" s="40"/>
      <c r="BQ410" s="40"/>
      <c r="BR410" s="40"/>
      <c r="BS410" s="40"/>
      <c r="BT410" s="40"/>
      <c r="BU410" s="40"/>
      <c r="BV410" s="40"/>
      <c r="BW410" s="40"/>
      <c r="BX410" s="40"/>
      <c r="BY410" s="40"/>
      <c r="BZ410" s="40"/>
      <c r="CA410" s="40"/>
      <c r="CB410" s="40"/>
      <c r="CC410" s="40"/>
      <c r="CD410" s="40"/>
      <c r="CE410" s="40"/>
      <c r="CF410" s="40"/>
      <c r="CG410" s="40"/>
      <c r="CH410" s="40"/>
      <c r="CI410" s="40"/>
      <c r="CJ410" s="40"/>
      <c r="CK410" s="40"/>
      <c r="CL410" s="40"/>
      <c r="CM410" s="40"/>
      <c r="CN410" s="40"/>
      <c r="CO410" s="40"/>
      <c r="CP410" s="40"/>
      <c r="CQ410" s="40"/>
      <c r="CR410" s="40"/>
      <c r="CS410" s="40"/>
    </row>
    <row r="411" spans="1:97">
      <c r="A411" s="397"/>
      <c r="B411" s="397"/>
      <c r="C411" s="397"/>
      <c r="D411" s="397"/>
      <c r="E411" s="397"/>
      <c r="F411" s="397"/>
      <c r="G411" s="180"/>
      <c r="H411" s="46"/>
      <c r="I411" s="53"/>
      <c r="J411" s="53"/>
      <c r="K411" s="192"/>
      <c r="L411" s="192"/>
      <c r="M411" s="192"/>
      <c r="N411" s="192"/>
      <c r="O411" s="192"/>
      <c r="P411" s="192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40"/>
      <c r="AT411" s="40"/>
      <c r="AU411" s="40"/>
      <c r="AV411" s="40"/>
      <c r="AW411" s="40"/>
      <c r="AX411" s="40"/>
      <c r="AY411" s="40"/>
      <c r="AZ411" s="40"/>
      <c r="BA411" s="40"/>
      <c r="BB411" s="40"/>
      <c r="BC411" s="40"/>
      <c r="BD411" s="40"/>
      <c r="BE411" s="40"/>
      <c r="BF411" s="40"/>
      <c r="BG411" s="40"/>
      <c r="BH411" s="40"/>
      <c r="BI411" s="40"/>
      <c r="BJ411" s="40"/>
      <c r="BK411" s="40"/>
      <c r="BL411" s="40"/>
      <c r="BM411" s="40"/>
      <c r="BN411" s="40"/>
      <c r="BO411" s="40"/>
      <c r="BP411" s="40"/>
      <c r="BQ411" s="40"/>
      <c r="BR411" s="40"/>
      <c r="BS411" s="40"/>
      <c r="BT411" s="40"/>
      <c r="BU411" s="40"/>
      <c r="BV411" s="40"/>
      <c r="BW411" s="40"/>
      <c r="BX411" s="40"/>
      <c r="BY411" s="40"/>
      <c r="BZ411" s="40"/>
      <c r="CA411" s="40"/>
      <c r="CB411" s="40"/>
      <c r="CC411" s="40"/>
      <c r="CD411" s="40"/>
      <c r="CE411" s="40"/>
      <c r="CF411" s="40"/>
      <c r="CG411" s="40"/>
      <c r="CH411" s="40"/>
      <c r="CI411" s="40"/>
      <c r="CJ411" s="40"/>
      <c r="CK411" s="40"/>
      <c r="CL411" s="40"/>
      <c r="CM411" s="40"/>
      <c r="CN411" s="40"/>
      <c r="CO411" s="40"/>
      <c r="CP411" s="40"/>
      <c r="CQ411" s="40"/>
      <c r="CR411" s="40"/>
      <c r="CS411" s="40"/>
    </row>
    <row r="412" spans="1:97">
      <c r="A412" s="397"/>
      <c r="B412" s="397"/>
      <c r="C412" s="397"/>
      <c r="D412" s="397"/>
      <c r="E412" s="397"/>
      <c r="F412" s="397"/>
      <c r="G412" s="180"/>
      <c r="H412" s="46"/>
      <c r="I412" s="53"/>
      <c r="J412" s="53"/>
      <c r="K412" s="192"/>
      <c r="L412" s="192"/>
      <c r="M412" s="192"/>
      <c r="N412" s="192"/>
      <c r="O412" s="192"/>
      <c r="P412" s="192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40"/>
      <c r="AY412" s="40"/>
      <c r="AZ412" s="40"/>
      <c r="BA412" s="40"/>
      <c r="BB412" s="40"/>
      <c r="BC412" s="40"/>
      <c r="BD412" s="40"/>
      <c r="BE412" s="40"/>
      <c r="BF412" s="40"/>
      <c r="BG412" s="40"/>
      <c r="BH412" s="40"/>
      <c r="BI412" s="40"/>
      <c r="BJ412" s="40"/>
      <c r="BK412" s="40"/>
      <c r="BL412" s="40"/>
      <c r="BM412" s="40"/>
      <c r="BN412" s="40"/>
      <c r="BO412" s="40"/>
      <c r="BP412" s="40"/>
      <c r="BQ412" s="40"/>
      <c r="BR412" s="40"/>
      <c r="BS412" s="40"/>
      <c r="BT412" s="40"/>
      <c r="BU412" s="40"/>
      <c r="BV412" s="40"/>
      <c r="BW412" s="40"/>
      <c r="BX412" s="40"/>
      <c r="BY412" s="40"/>
      <c r="BZ412" s="40"/>
      <c r="CA412" s="40"/>
      <c r="CB412" s="40"/>
      <c r="CC412" s="40"/>
      <c r="CD412" s="40"/>
      <c r="CE412" s="40"/>
      <c r="CF412" s="40"/>
      <c r="CG412" s="40"/>
      <c r="CH412" s="40"/>
      <c r="CI412" s="40"/>
      <c r="CJ412" s="40"/>
      <c r="CK412" s="40"/>
      <c r="CL412" s="40"/>
      <c r="CM412" s="40"/>
      <c r="CN412" s="40"/>
      <c r="CO412" s="40"/>
      <c r="CP412" s="40"/>
      <c r="CQ412" s="40"/>
      <c r="CR412" s="40"/>
      <c r="CS412" s="40"/>
    </row>
    <row r="413" spans="1:97">
      <c r="A413" s="397"/>
      <c r="B413" s="397"/>
      <c r="C413" s="397"/>
      <c r="D413" s="397"/>
      <c r="E413" s="397"/>
      <c r="F413" s="397"/>
      <c r="G413" s="180"/>
      <c r="H413" s="46"/>
      <c r="I413" s="53"/>
      <c r="J413" s="53"/>
      <c r="K413" s="192"/>
      <c r="L413" s="192"/>
      <c r="M413" s="192"/>
      <c r="N413" s="192"/>
      <c r="O413" s="192"/>
      <c r="P413" s="192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40"/>
      <c r="AT413" s="40"/>
      <c r="AU413" s="40"/>
      <c r="AV413" s="40"/>
      <c r="AW413" s="40"/>
      <c r="AX413" s="40"/>
      <c r="AY413" s="40"/>
      <c r="AZ413" s="40"/>
      <c r="BA413" s="40"/>
      <c r="BB413" s="40"/>
      <c r="BC413" s="40"/>
      <c r="BD413" s="40"/>
      <c r="BE413" s="40"/>
      <c r="BF413" s="40"/>
      <c r="BG413" s="40"/>
      <c r="BH413" s="40"/>
      <c r="BI413" s="40"/>
      <c r="BJ413" s="40"/>
      <c r="BK413" s="40"/>
      <c r="BL413" s="40"/>
      <c r="BM413" s="40"/>
      <c r="BN413" s="40"/>
      <c r="BO413" s="40"/>
      <c r="BP413" s="40"/>
      <c r="BQ413" s="40"/>
      <c r="BR413" s="40"/>
      <c r="BS413" s="40"/>
      <c r="BT413" s="40"/>
      <c r="BU413" s="40"/>
      <c r="BV413" s="40"/>
      <c r="BW413" s="40"/>
      <c r="BX413" s="40"/>
      <c r="BY413" s="40"/>
      <c r="BZ413" s="40"/>
      <c r="CA413" s="40"/>
      <c r="CB413" s="40"/>
      <c r="CC413" s="40"/>
      <c r="CD413" s="40"/>
      <c r="CE413" s="40"/>
      <c r="CF413" s="40"/>
      <c r="CG413" s="40"/>
      <c r="CH413" s="40"/>
      <c r="CI413" s="40"/>
      <c r="CJ413" s="40"/>
      <c r="CK413" s="40"/>
      <c r="CL413" s="40"/>
      <c r="CM413" s="40"/>
      <c r="CN413" s="40"/>
      <c r="CO413" s="40"/>
      <c r="CP413" s="40"/>
      <c r="CQ413" s="40"/>
      <c r="CR413" s="40"/>
      <c r="CS413" s="40"/>
    </row>
    <row r="414" spans="1:97">
      <c r="A414" s="397"/>
      <c r="B414" s="397"/>
      <c r="C414" s="397"/>
      <c r="D414" s="397"/>
      <c r="E414" s="397"/>
      <c r="F414" s="397"/>
      <c r="G414" s="180"/>
      <c r="H414" s="46"/>
      <c r="I414" s="53"/>
      <c r="J414" s="53"/>
      <c r="K414" s="192"/>
      <c r="L414" s="192"/>
      <c r="M414" s="192"/>
      <c r="N414" s="192"/>
      <c r="O414" s="192"/>
      <c r="P414" s="192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40"/>
      <c r="AX414" s="40"/>
      <c r="AY414" s="40"/>
      <c r="AZ414" s="40"/>
      <c r="BA414" s="40"/>
      <c r="BB414" s="40"/>
      <c r="BC414" s="40"/>
      <c r="BD414" s="40"/>
      <c r="BE414" s="40"/>
      <c r="BF414" s="40"/>
      <c r="BG414" s="40"/>
      <c r="BH414" s="40"/>
      <c r="BI414" s="40"/>
      <c r="BJ414" s="40"/>
      <c r="BK414" s="40"/>
      <c r="BL414" s="40"/>
      <c r="BM414" s="40"/>
      <c r="BN414" s="40"/>
      <c r="BO414" s="40"/>
      <c r="BP414" s="40"/>
      <c r="BQ414" s="40"/>
      <c r="BR414" s="40"/>
      <c r="BS414" s="40"/>
      <c r="BT414" s="40"/>
      <c r="BU414" s="40"/>
      <c r="BV414" s="40"/>
      <c r="BW414" s="40"/>
      <c r="BX414" s="40"/>
      <c r="BY414" s="40"/>
      <c r="BZ414" s="40"/>
      <c r="CA414" s="40"/>
      <c r="CB414" s="40"/>
      <c r="CC414" s="40"/>
      <c r="CD414" s="40"/>
      <c r="CE414" s="40"/>
      <c r="CF414" s="40"/>
      <c r="CG414" s="40"/>
      <c r="CH414" s="40"/>
      <c r="CI414" s="40"/>
      <c r="CJ414" s="40"/>
      <c r="CK414" s="40"/>
      <c r="CL414" s="40"/>
      <c r="CM414" s="40"/>
      <c r="CN414" s="40"/>
      <c r="CO414" s="40"/>
      <c r="CP414" s="40"/>
      <c r="CQ414" s="40"/>
      <c r="CR414" s="40"/>
      <c r="CS414" s="40"/>
    </row>
    <row r="415" spans="1:97">
      <c r="A415" s="397"/>
      <c r="B415" s="397"/>
      <c r="C415" s="397"/>
      <c r="D415" s="397"/>
      <c r="E415" s="397"/>
      <c r="F415" s="397"/>
      <c r="G415" s="180"/>
      <c r="H415" s="46"/>
      <c r="I415" s="53"/>
      <c r="J415" s="53"/>
      <c r="K415" s="192"/>
      <c r="L415" s="192"/>
      <c r="M415" s="192"/>
      <c r="N415" s="192"/>
      <c r="O415" s="192"/>
      <c r="P415" s="192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40"/>
      <c r="AT415" s="40"/>
      <c r="AU415" s="40"/>
      <c r="AV415" s="40"/>
      <c r="AW415" s="40"/>
      <c r="AX415" s="40"/>
      <c r="AY415" s="40"/>
      <c r="AZ415" s="40"/>
      <c r="BA415" s="40"/>
      <c r="BB415" s="40"/>
      <c r="BC415" s="40"/>
      <c r="BD415" s="40"/>
      <c r="BE415" s="40"/>
      <c r="BF415" s="40"/>
      <c r="BG415" s="40"/>
      <c r="BH415" s="40"/>
      <c r="BI415" s="40"/>
      <c r="BJ415" s="40"/>
      <c r="BK415" s="40"/>
      <c r="BL415" s="40"/>
      <c r="BM415" s="40"/>
      <c r="BN415" s="40"/>
      <c r="BO415" s="40"/>
      <c r="BP415" s="40"/>
      <c r="BQ415" s="40"/>
      <c r="BR415" s="40"/>
      <c r="BS415" s="40"/>
      <c r="BT415" s="40"/>
      <c r="BU415" s="40"/>
      <c r="BV415" s="40"/>
      <c r="BW415" s="40"/>
      <c r="BX415" s="40"/>
      <c r="BY415" s="40"/>
      <c r="BZ415" s="40"/>
      <c r="CA415" s="40"/>
      <c r="CB415" s="40"/>
      <c r="CC415" s="40"/>
      <c r="CD415" s="40"/>
      <c r="CE415" s="40"/>
      <c r="CF415" s="40"/>
      <c r="CG415" s="40"/>
      <c r="CH415" s="40"/>
      <c r="CI415" s="40"/>
      <c r="CJ415" s="40"/>
      <c r="CK415" s="40"/>
      <c r="CL415" s="40"/>
      <c r="CM415" s="40"/>
      <c r="CN415" s="40"/>
      <c r="CO415" s="40"/>
      <c r="CP415" s="40"/>
      <c r="CQ415" s="40"/>
      <c r="CR415" s="40"/>
      <c r="CS415" s="40"/>
    </row>
    <row r="416" spans="1:97">
      <c r="A416" s="397"/>
      <c r="B416" s="397"/>
      <c r="C416" s="397"/>
      <c r="D416" s="397"/>
      <c r="E416" s="397"/>
      <c r="F416" s="397"/>
      <c r="G416" s="180"/>
      <c r="H416" s="46"/>
      <c r="I416" s="53"/>
      <c r="J416" s="53"/>
      <c r="K416" s="192"/>
      <c r="L416" s="192"/>
      <c r="M416" s="192"/>
      <c r="N416" s="192"/>
      <c r="O416" s="192"/>
      <c r="P416" s="192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40"/>
      <c r="AT416" s="40"/>
      <c r="AU416" s="40"/>
      <c r="AV416" s="40"/>
      <c r="AW416" s="40"/>
      <c r="AX416" s="40"/>
      <c r="AY416" s="40"/>
      <c r="AZ416" s="40"/>
      <c r="BA416" s="40"/>
      <c r="BB416" s="40"/>
      <c r="BC416" s="40"/>
      <c r="BD416" s="40"/>
      <c r="BE416" s="40"/>
      <c r="BF416" s="40"/>
      <c r="BG416" s="40"/>
      <c r="BH416" s="40"/>
      <c r="BI416" s="40"/>
      <c r="BJ416" s="40"/>
      <c r="BK416" s="40"/>
      <c r="BL416" s="40"/>
      <c r="BM416" s="40"/>
      <c r="BN416" s="40"/>
      <c r="BO416" s="40"/>
      <c r="BP416" s="40"/>
      <c r="BQ416" s="40"/>
      <c r="BR416" s="40"/>
      <c r="BS416" s="40"/>
      <c r="BT416" s="40"/>
      <c r="BU416" s="40"/>
      <c r="BV416" s="40"/>
      <c r="BW416" s="40"/>
      <c r="BX416" s="40"/>
      <c r="BY416" s="40"/>
      <c r="BZ416" s="40"/>
      <c r="CA416" s="40"/>
      <c r="CB416" s="40"/>
      <c r="CC416" s="40"/>
      <c r="CD416" s="40"/>
      <c r="CE416" s="40"/>
      <c r="CF416" s="40"/>
      <c r="CG416" s="40"/>
      <c r="CH416" s="40"/>
      <c r="CI416" s="40"/>
      <c r="CJ416" s="40"/>
      <c r="CK416" s="40"/>
      <c r="CL416" s="40"/>
      <c r="CM416" s="40"/>
      <c r="CN416" s="40"/>
      <c r="CO416" s="40"/>
      <c r="CP416" s="40"/>
      <c r="CQ416" s="40"/>
      <c r="CR416" s="40"/>
      <c r="CS416" s="40"/>
    </row>
    <row r="417" spans="1:97">
      <c r="A417" s="397"/>
      <c r="B417" s="397"/>
      <c r="C417" s="397"/>
      <c r="D417" s="397"/>
      <c r="E417" s="397"/>
      <c r="F417" s="397"/>
      <c r="G417" s="180"/>
      <c r="H417" s="46"/>
      <c r="I417" s="53"/>
      <c r="J417" s="53"/>
      <c r="K417" s="192"/>
      <c r="L417" s="192"/>
      <c r="M417" s="192"/>
      <c r="N417" s="192"/>
      <c r="O417" s="192"/>
      <c r="P417" s="192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40"/>
      <c r="AT417" s="40"/>
      <c r="AU417" s="40"/>
      <c r="AV417" s="40"/>
      <c r="AW417" s="40"/>
      <c r="AX417" s="40"/>
      <c r="AY417" s="40"/>
      <c r="AZ417" s="40"/>
      <c r="BA417" s="40"/>
      <c r="BB417" s="40"/>
      <c r="BC417" s="40"/>
      <c r="BD417" s="40"/>
      <c r="BE417" s="40"/>
      <c r="BF417" s="40"/>
      <c r="BG417" s="40"/>
      <c r="BH417" s="40"/>
      <c r="BI417" s="40"/>
      <c r="BJ417" s="40"/>
      <c r="BK417" s="40"/>
      <c r="BL417" s="40"/>
      <c r="BM417" s="40"/>
      <c r="BN417" s="40"/>
      <c r="BO417" s="40"/>
      <c r="BP417" s="40"/>
      <c r="BQ417" s="40"/>
      <c r="BR417" s="40"/>
      <c r="BS417" s="40"/>
      <c r="BT417" s="40"/>
      <c r="BU417" s="40"/>
      <c r="BV417" s="40"/>
      <c r="BW417" s="40"/>
      <c r="BX417" s="40"/>
      <c r="BY417" s="40"/>
      <c r="BZ417" s="40"/>
      <c r="CA417" s="40"/>
      <c r="CB417" s="40"/>
      <c r="CC417" s="40"/>
      <c r="CD417" s="40"/>
      <c r="CE417" s="40"/>
      <c r="CF417" s="40"/>
      <c r="CG417" s="40"/>
      <c r="CH417" s="40"/>
      <c r="CI417" s="40"/>
      <c r="CJ417" s="40"/>
      <c r="CK417" s="40"/>
      <c r="CL417" s="40"/>
      <c r="CM417" s="40"/>
      <c r="CN417" s="40"/>
      <c r="CO417" s="40"/>
      <c r="CP417" s="40"/>
      <c r="CQ417" s="40"/>
      <c r="CR417" s="40"/>
      <c r="CS417" s="40"/>
    </row>
    <row r="418" spans="1:97">
      <c r="A418" s="397"/>
      <c r="B418" s="397"/>
      <c r="C418" s="397"/>
      <c r="D418" s="397"/>
      <c r="E418" s="397"/>
      <c r="F418" s="397"/>
      <c r="G418" s="180"/>
      <c r="H418" s="46"/>
      <c r="I418" s="53"/>
      <c r="J418" s="53"/>
      <c r="K418" s="192"/>
      <c r="L418" s="192"/>
      <c r="M418" s="192"/>
      <c r="N418" s="192"/>
      <c r="O418" s="192"/>
      <c r="P418" s="192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40"/>
      <c r="AT418" s="40"/>
      <c r="AU418" s="40"/>
      <c r="AV418" s="40"/>
      <c r="AW418" s="40"/>
      <c r="AX418" s="40"/>
      <c r="AY418" s="40"/>
      <c r="AZ418" s="40"/>
      <c r="BA418" s="40"/>
      <c r="BB418" s="40"/>
      <c r="BC418" s="40"/>
      <c r="BD418" s="40"/>
      <c r="BE418" s="40"/>
      <c r="BF418" s="40"/>
      <c r="BG418" s="40"/>
      <c r="BH418" s="40"/>
      <c r="BI418" s="40"/>
      <c r="BJ418" s="40"/>
      <c r="BK418" s="40"/>
      <c r="BL418" s="40"/>
      <c r="BM418" s="40"/>
      <c r="BN418" s="40"/>
      <c r="BO418" s="40"/>
      <c r="BP418" s="40"/>
      <c r="BQ418" s="40"/>
      <c r="BR418" s="40"/>
      <c r="BS418" s="40"/>
      <c r="BT418" s="40"/>
      <c r="BU418" s="40"/>
      <c r="BV418" s="40"/>
      <c r="BW418" s="40"/>
      <c r="BX418" s="40"/>
      <c r="BY418" s="40"/>
      <c r="BZ418" s="40"/>
      <c r="CA418" s="40"/>
      <c r="CB418" s="40"/>
      <c r="CC418" s="40"/>
      <c r="CD418" s="40"/>
      <c r="CE418" s="40"/>
      <c r="CF418" s="40"/>
      <c r="CG418" s="40"/>
      <c r="CH418" s="40"/>
      <c r="CI418" s="40"/>
      <c r="CJ418" s="40"/>
      <c r="CK418" s="40"/>
      <c r="CL418" s="40"/>
      <c r="CM418" s="40"/>
      <c r="CN418" s="40"/>
      <c r="CO418" s="40"/>
      <c r="CP418" s="40"/>
      <c r="CQ418" s="40"/>
      <c r="CR418" s="40"/>
      <c r="CS418" s="40"/>
    </row>
    <row r="419" spans="1:97">
      <c r="A419" s="397"/>
      <c r="B419" s="397"/>
      <c r="C419" s="397"/>
      <c r="D419" s="397"/>
      <c r="E419" s="397"/>
      <c r="F419" s="397"/>
      <c r="G419" s="180"/>
      <c r="H419" s="46"/>
      <c r="I419" s="53"/>
      <c r="J419" s="53"/>
      <c r="K419" s="192"/>
      <c r="L419" s="192"/>
      <c r="M419" s="192"/>
      <c r="N419" s="192"/>
      <c r="O419" s="192"/>
      <c r="P419" s="192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40"/>
      <c r="AT419" s="40"/>
      <c r="AU419" s="40"/>
      <c r="AV419" s="40"/>
      <c r="AW419" s="40"/>
      <c r="AX419" s="40"/>
      <c r="AY419" s="40"/>
      <c r="AZ419" s="40"/>
      <c r="BA419" s="40"/>
      <c r="BB419" s="40"/>
      <c r="BC419" s="40"/>
      <c r="BD419" s="40"/>
      <c r="BE419" s="40"/>
      <c r="BF419" s="40"/>
      <c r="BG419" s="40"/>
      <c r="BH419" s="40"/>
      <c r="BI419" s="40"/>
      <c r="BJ419" s="40"/>
      <c r="BK419" s="40"/>
      <c r="BL419" s="40"/>
      <c r="BM419" s="40"/>
      <c r="BN419" s="40"/>
      <c r="BO419" s="40"/>
      <c r="BP419" s="40"/>
      <c r="BQ419" s="40"/>
      <c r="BR419" s="40"/>
      <c r="BS419" s="40"/>
      <c r="BT419" s="40"/>
      <c r="BU419" s="40"/>
      <c r="BV419" s="40"/>
      <c r="BW419" s="40"/>
      <c r="BX419" s="40"/>
      <c r="BY419" s="40"/>
      <c r="BZ419" s="40"/>
      <c r="CA419" s="40"/>
      <c r="CB419" s="40"/>
      <c r="CC419" s="40"/>
      <c r="CD419" s="40"/>
      <c r="CE419" s="40"/>
      <c r="CF419" s="40"/>
      <c r="CG419" s="40"/>
      <c r="CH419" s="40"/>
      <c r="CI419" s="40"/>
      <c r="CJ419" s="40"/>
      <c r="CK419" s="40"/>
      <c r="CL419" s="40"/>
      <c r="CM419" s="40"/>
      <c r="CN419" s="40"/>
      <c r="CO419" s="40"/>
      <c r="CP419" s="40"/>
      <c r="CQ419" s="40"/>
      <c r="CR419" s="40"/>
      <c r="CS419" s="40"/>
    </row>
    <row r="420" spans="1:97">
      <c r="A420" s="397"/>
      <c r="B420" s="397"/>
      <c r="C420" s="397"/>
      <c r="D420" s="397"/>
      <c r="E420" s="397"/>
      <c r="F420" s="397"/>
      <c r="G420" s="180"/>
      <c r="H420" s="46"/>
      <c r="I420" s="53"/>
      <c r="J420" s="53"/>
      <c r="K420" s="192"/>
      <c r="L420" s="192"/>
      <c r="M420" s="192"/>
      <c r="N420" s="192"/>
      <c r="O420" s="192"/>
      <c r="P420" s="192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40"/>
      <c r="AT420" s="40"/>
      <c r="AU420" s="40"/>
      <c r="AV420" s="40"/>
      <c r="AW420" s="40"/>
      <c r="AX420" s="40"/>
      <c r="AY420" s="40"/>
      <c r="AZ420" s="40"/>
      <c r="BA420" s="40"/>
      <c r="BB420" s="40"/>
      <c r="BC420" s="40"/>
      <c r="BD420" s="40"/>
      <c r="BE420" s="40"/>
      <c r="BF420" s="40"/>
      <c r="BG420" s="40"/>
      <c r="BH420" s="40"/>
      <c r="BI420" s="40"/>
      <c r="BJ420" s="40"/>
      <c r="BK420" s="40"/>
      <c r="BL420" s="40"/>
      <c r="BM420" s="40"/>
      <c r="BN420" s="40"/>
      <c r="BO420" s="40"/>
      <c r="BP420" s="40"/>
      <c r="BQ420" s="40"/>
      <c r="BR420" s="40"/>
      <c r="BS420" s="40"/>
      <c r="BT420" s="40"/>
      <c r="BU420" s="40"/>
      <c r="BV420" s="40"/>
      <c r="BW420" s="40"/>
      <c r="BX420" s="40"/>
      <c r="BY420" s="40"/>
      <c r="BZ420" s="40"/>
      <c r="CA420" s="40"/>
      <c r="CB420" s="40"/>
      <c r="CC420" s="40"/>
      <c r="CD420" s="40"/>
      <c r="CE420" s="40"/>
      <c r="CF420" s="40"/>
      <c r="CG420" s="40"/>
      <c r="CH420" s="40"/>
      <c r="CI420" s="40"/>
      <c r="CJ420" s="40"/>
      <c r="CK420" s="40"/>
      <c r="CL420" s="40"/>
      <c r="CM420" s="40"/>
      <c r="CN420" s="40"/>
      <c r="CO420" s="40"/>
      <c r="CP420" s="40"/>
      <c r="CQ420" s="40"/>
      <c r="CR420" s="40"/>
      <c r="CS420" s="40"/>
    </row>
    <row r="421" spans="1:97">
      <c r="A421" s="397"/>
      <c r="B421" s="397"/>
      <c r="C421" s="397"/>
      <c r="D421" s="397"/>
      <c r="E421" s="397"/>
      <c r="F421" s="397"/>
      <c r="G421" s="180"/>
      <c r="H421" s="46"/>
      <c r="I421" s="53"/>
      <c r="J421" s="53"/>
      <c r="K421" s="192"/>
      <c r="L421" s="192"/>
      <c r="M421" s="192"/>
      <c r="N421" s="192"/>
      <c r="O421" s="192"/>
      <c r="P421" s="192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40"/>
      <c r="AT421" s="40"/>
      <c r="AU421" s="40"/>
      <c r="AV421" s="40"/>
      <c r="AW421" s="40"/>
      <c r="AX421" s="40"/>
      <c r="AY421" s="40"/>
      <c r="AZ421" s="40"/>
      <c r="BA421" s="40"/>
      <c r="BB421" s="40"/>
      <c r="BC421" s="40"/>
      <c r="BD421" s="40"/>
      <c r="BE421" s="40"/>
      <c r="BF421" s="40"/>
      <c r="BG421" s="40"/>
      <c r="BH421" s="40"/>
      <c r="BI421" s="40"/>
      <c r="BJ421" s="40"/>
      <c r="BK421" s="40"/>
      <c r="BL421" s="40"/>
      <c r="BM421" s="40"/>
      <c r="BN421" s="40"/>
      <c r="BO421" s="40"/>
      <c r="BP421" s="40"/>
      <c r="BQ421" s="40"/>
      <c r="BR421" s="40"/>
      <c r="BS421" s="40"/>
      <c r="BT421" s="40"/>
      <c r="BU421" s="40"/>
      <c r="BV421" s="40"/>
      <c r="BW421" s="40"/>
      <c r="BX421" s="40"/>
      <c r="BY421" s="40"/>
      <c r="BZ421" s="40"/>
      <c r="CA421" s="40"/>
      <c r="CB421" s="40"/>
      <c r="CC421" s="40"/>
      <c r="CD421" s="40"/>
      <c r="CE421" s="40"/>
      <c r="CF421" s="40"/>
      <c r="CG421" s="40"/>
      <c r="CH421" s="40"/>
      <c r="CI421" s="40"/>
      <c r="CJ421" s="40"/>
      <c r="CK421" s="40"/>
      <c r="CL421" s="40"/>
      <c r="CM421" s="40"/>
      <c r="CN421" s="40"/>
      <c r="CO421" s="40"/>
      <c r="CP421" s="40"/>
      <c r="CQ421" s="40"/>
      <c r="CR421" s="40"/>
      <c r="CS421" s="40"/>
    </row>
    <row r="422" spans="1:97">
      <c r="A422" s="397"/>
      <c r="B422" s="397"/>
      <c r="C422" s="397"/>
      <c r="D422" s="397"/>
      <c r="E422" s="397"/>
      <c r="F422" s="397"/>
      <c r="G422" s="180"/>
      <c r="H422" s="46"/>
      <c r="I422" s="53"/>
      <c r="J422" s="53"/>
      <c r="K422" s="192"/>
      <c r="L422" s="192"/>
      <c r="M422" s="192"/>
      <c r="N422" s="192"/>
      <c r="O422" s="192"/>
      <c r="P422" s="192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40"/>
      <c r="AT422" s="40"/>
      <c r="AU422" s="40"/>
      <c r="AV422" s="40"/>
      <c r="AW422" s="40"/>
      <c r="AX422" s="40"/>
      <c r="AY422" s="40"/>
      <c r="AZ422" s="40"/>
      <c r="BA422" s="40"/>
      <c r="BB422" s="40"/>
      <c r="BC422" s="40"/>
      <c r="BD422" s="40"/>
      <c r="BE422" s="40"/>
      <c r="BF422" s="40"/>
      <c r="BG422" s="40"/>
      <c r="BH422" s="40"/>
      <c r="BI422" s="40"/>
      <c r="BJ422" s="40"/>
      <c r="BK422" s="40"/>
      <c r="BL422" s="40"/>
      <c r="BM422" s="40"/>
      <c r="BN422" s="40"/>
      <c r="BO422" s="40"/>
      <c r="BP422" s="40"/>
      <c r="BQ422" s="40"/>
      <c r="BR422" s="40"/>
      <c r="BS422" s="40"/>
      <c r="BT422" s="40"/>
      <c r="BU422" s="40"/>
      <c r="BV422" s="40"/>
      <c r="BW422" s="40"/>
      <c r="BX422" s="40"/>
      <c r="BY422" s="40"/>
      <c r="BZ422" s="40"/>
      <c r="CA422" s="40"/>
      <c r="CB422" s="40"/>
      <c r="CC422" s="40"/>
      <c r="CD422" s="40"/>
      <c r="CE422" s="40"/>
      <c r="CF422" s="40"/>
      <c r="CG422" s="40"/>
      <c r="CH422" s="40"/>
      <c r="CI422" s="40"/>
      <c r="CJ422" s="40"/>
      <c r="CK422" s="40"/>
      <c r="CL422" s="40"/>
      <c r="CM422" s="40"/>
      <c r="CN422" s="40"/>
      <c r="CO422" s="40"/>
      <c r="CP422" s="40"/>
      <c r="CQ422" s="40"/>
      <c r="CR422" s="40"/>
      <c r="CS422" s="40"/>
    </row>
    <row r="423" spans="1:97">
      <c r="A423" s="397"/>
      <c r="B423" s="397"/>
      <c r="C423" s="397"/>
      <c r="D423" s="397"/>
      <c r="E423" s="397"/>
      <c r="F423" s="397"/>
      <c r="G423" s="180"/>
      <c r="H423" s="46"/>
      <c r="I423" s="53"/>
      <c r="J423" s="53"/>
      <c r="K423" s="192"/>
      <c r="L423" s="192"/>
      <c r="M423" s="192"/>
      <c r="N423" s="192"/>
      <c r="O423" s="192"/>
      <c r="P423" s="192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40"/>
      <c r="AT423" s="40"/>
      <c r="AU423" s="40"/>
      <c r="AV423" s="40"/>
      <c r="AW423" s="40"/>
      <c r="AX423" s="40"/>
      <c r="AY423" s="40"/>
      <c r="AZ423" s="40"/>
      <c r="BA423" s="40"/>
      <c r="BB423" s="40"/>
      <c r="BC423" s="40"/>
      <c r="BD423" s="40"/>
      <c r="BE423" s="40"/>
      <c r="BF423" s="40"/>
      <c r="BG423" s="40"/>
      <c r="BH423" s="40"/>
      <c r="BI423" s="40"/>
      <c r="BJ423" s="40"/>
      <c r="BK423" s="40"/>
      <c r="BL423" s="40"/>
      <c r="BM423" s="40"/>
      <c r="BN423" s="40"/>
      <c r="BO423" s="40"/>
      <c r="BP423" s="40"/>
      <c r="BQ423" s="40"/>
      <c r="BR423" s="40"/>
      <c r="BS423" s="40"/>
      <c r="BT423" s="40"/>
      <c r="BU423" s="40"/>
      <c r="BV423" s="40"/>
      <c r="BW423" s="40"/>
      <c r="BX423" s="40"/>
      <c r="BY423" s="40"/>
      <c r="BZ423" s="40"/>
      <c r="CA423" s="40"/>
      <c r="CB423" s="40"/>
      <c r="CC423" s="40"/>
      <c r="CD423" s="40"/>
      <c r="CE423" s="40"/>
      <c r="CF423" s="40"/>
      <c r="CG423" s="40"/>
      <c r="CH423" s="40"/>
      <c r="CI423" s="40"/>
      <c r="CJ423" s="40"/>
      <c r="CK423" s="40"/>
      <c r="CL423" s="40"/>
      <c r="CM423" s="40"/>
      <c r="CN423" s="40"/>
      <c r="CO423" s="40"/>
      <c r="CP423" s="40"/>
      <c r="CQ423" s="40"/>
      <c r="CR423" s="40"/>
      <c r="CS423" s="40"/>
    </row>
    <row r="424" spans="1:97">
      <c r="A424" s="397"/>
      <c r="B424" s="397"/>
      <c r="C424" s="397"/>
      <c r="D424" s="397"/>
      <c r="E424" s="397"/>
      <c r="F424" s="397"/>
      <c r="G424" s="180"/>
      <c r="H424" s="46"/>
      <c r="I424" s="53"/>
      <c r="J424" s="53"/>
      <c r="K424" s="192"/>
      <c r="L424" s="192"/>
      <c r="M424" s="192"/>
      <c r="N424" s="192"/>
      <c r="O424" s="192"/>
      <c r="P424" s="192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40"/>
      <c r="AT424" s="40"/>
      <c r="AU424" s="40"/>
      <c r="AV424" s="40"/>
      <c r="AW424" s="40"/>
      <c r="AX424" s="40"/>
      <c r="AY424" s="40"/>
      <c r="AZ424" s="40"/>
      <c r="BA424" s="40"/>
      <c r="BB424" s="40"/>
      <c r="BC424" s="40"/>
      <c r="BD424" s="40"/>
      <c r="BE424" s="40"/>
      <c r="BF424" s="40"/>
      <c r="BG424" s="40"/>
      <c r="BH424" s="40"/>
      <c r="BI424" s="40"/>
      <c r="BJ424" s="40"/>
      <c r="BK424" s="40"/>
      <c r="BL424" s="40"/>
      <c r="BM424" s="40"/>
      <c r="BN424" s="40"/>
      <c r="BO424" s="40"/>
      <c r="BP424" s="40"/>
      <c r="BQ424" s="40"/>
      <c r="BR424" s="40"/>
      <c r="BS424" s="40"/>
      <c r="BT424" s="40"/>
      <c r="BU424" s="40"/>
      <c r="BV424" s="40"/>
      <c r="BW424" s="40"/>
      <c r="BX424" s="40"/>
      <c r="BY424" s="40"/>
      <c r="BZ424" s="40"/>
      <c r="CA424" s="40"/>
      <c r="CB424" s="40"/>
      <c r="CC424" s="40"/>
      <c r="CD424" s="40"/>
      <c r="CE424" s="40"/>
      <c r="CF424" s="40"/>
      <c r="CG424" s="40"/>
      <c r="CH424" s="40"/>
      <c r="CI424" s="40"/>
      <c r="CJ424" s="40"/>
      <c r="CK424" s="40"/>
      <c r="CL424" s="40"/>
      <c r="CM424" s="40"/>
      <c r="CN424" s="40"/>
      <c r="CO424" s="40"/>
      <c r="CP424" s="40"/>
      <c r="CQ424" s="40"/>
      <c r="CR424" s="40"/>
      <c r="CS424" s="40"/>
    </row>
    <row r="425" spans="1:97">
      <c r="A425" s="397"/>
      <c r="B425" s="397"/>
      <c r="C425" s="397"/>
      <c r="D425" s="397"/>
      <c r="E425" s="397"/>
      <c r="F425" s="397"/>
      <c r="G425" s="180"/>
      <c r="H425" s="46"/>
      <c r="I425" s="53"/>
      <c r="J425" s="53"/>
      <c r="K425" s="192"/>
      <c r="L425" s="192"/>
      <c r="M425" s="192"/>
      <c r="N425" s="192"/>
      <c r="O425" s="192"/>
      <c r="P425" s="192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40"/>
      <c r="AT425" s="40"/>
      <c r="AU425" s="40"/>
      <c r="AV425" s="40"/>
      <c r="AW425" s="40"/>
      <c r="AX425" s="40"/>
      <c r="AY425" s="40"/>
      <c r="AZ425" s="40"/>
      <c r="BA425" s="40"/>
      <c r="BB425" s="40"/>
      <c r="BC425" s="40"/>
      <c r="BD425" s="40"/>
      <c r="BE425" s="40"/>
      <c r="BF425" s="40"/>
      <c r="BG425" s="40"/>
      <c r="BH425" s="40"/>
      <c r="BI425" s="40"/>
      <c r="BJ425" s="40"/>
      <c r="BK425" s="40"/>
      <c r="BL425" s="40"/>
      <c r="BM425" s="40"/>
      <c r="BN425" s="40"/>
      <c r="BO425" s="40"/>
      <c r="BP425" s="40"/>
      <c r="BQ425" s="40"/>
      <c r="BR425" s="40"/>
      <c r="BS425" s="40"/>
      <c r="BT425" s="40"/>
      <c r="BU425" s="40"/>
      <c r="BV425" s="40"/>
      <c r="BW425" s="40"/>
      <c r="BX425" s="40"/>
      <c r="BY425" s="40"/>
      <c r="BZ425" s="40"/>
      <c r="CA425" s="40"/>
      <c r="CB425" s="40"/>
      <c r="CC425" s="40"/>
      <c r="CD425" s="40"/>
      <c r="CE425" s="40"/>
      <c r="CF425" s="40"/>
      <c r="CG425" s="40"/>
      <c r="CH425" s="40"/>
      <c r="CI425" s="40"/>
      <c r="CJ425" s="40"/>
      <c r="CK425" s="40"/>
      <c r="CL425" s="40"/>
      <c r="CM425" s="40"/>
      <c r="CN425" s="40"/>
      <c r="CO425" s="40"/>
      <c r="CP425" s="40"/>
      <c r="CQ425" s="40"/>
      <c r="CR425" s="40"/>
      <c r="CS425" s="40"/>
    </row>
    <row r="426" spans="1:97">
      <c r="A426" s="397"/>
      <c r="B426" s="397"/>
      <c r="C426" s="397"/>
      <c r="D426" s="397"/>
      <c r="E426" s="397"/>
      <c r="F426" s="397"/>
      <c r="G426" s="180"/>
      <c r="H426" s="46"/>
      <c r="I426" s="53"/>
      <c r="J426" s="53"/>
      <c r="K426" s="192"/>
      <c r="L426" s="192"/>
      <c r="M426" s="192"/>
      <c r="N426" s="192"/>
      <c r="O426" s="192"/>
      <c r="P426" s="192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40"/>
      <c r="AT426" s="40"/>
      <c r="AU426" s="40"/>
      <c r="AV426" s="40"/>
      <c r="AW426" s="40"/>
      <c r="AX426" s="40"/>
      <c r="AY426" s="40"/>
      <c r="AZ426" s="40"/>
      <c r="BA426" s="40"/>
      <c r="BB426" s="40"/>
      <c r="BC426" s="40"/>
      <c r="BD426" s="40"/>
      <c r="BE426" s="40"/>
      <c r="BF426" s="40"/>
      <c r="BG426" s="40"/>
      <c r="BH426" s="40"/>
      <c r="BI426" s="40"/>
      <c r="BJ426" s="40"/>
      <c r="BK426" s="40"/>
      <c r="BL426" s="40"/>
      <c r="BM426" s="40"/>
      <c r="BN426" s="40"/>
      <c r="BO426" s="40"/>
      <c r="BP426" s="40"/>
      <c r="BQ426" s="40"/>
      <c r="BR426" s="40"/>
      <c r="BS426" s="40"/>
      <c r="BT426" s="40"/>
      <c r="BU426" s="40"/>
      <c r="BV426" s="40"/>
      <c r="BW426" s="40"/>
      <c r="BX426" s="40"/>
      <c r="BY426" s="40"/>
      <c r="BZ426" s="40"/>
      <c r="CA426" s="40"/>
      <c r="CB426" s="40"/>
      <c r="CC426" s="40"/>
      <c r="CD426" s="40"/>
      <c r="CE426" s="40"/>
      <c r="CF426" s="40"/>
      <c r="CG426" s="40"/>
      <c r="CH426" s="40"/>
      <c r="CI426" s="40"/>
      <c r="CJ426" s="40"/>
      <c r="CK426" s="40"/>
      <c r="CL426" s="40"/>
      <c r="CM426" s="40"/>
      <c r="CN426" s="40"/>
      <c r="CO426" s="40"/>
      <c r="CP426" s="40"/>
      <c r="CQ426" s="40"/>
      <c r="CR426" s="40"/>
      <c r="CS426" s="40"/>
    </row>
    <row r="427" spans="1:97">
      <c r="A427" s="397"/>
      <c r="B427" s="397"/>
      <c r="C427" s="397"/>
      <c r="D427" s="397"/>
      <c r="E427" s="397"/>
      <c r="F427" s="397"/>
      <c r="G427" s="180"/>
      <c r="H427" s="46"/>
      <c r="I427" s="53"/>
      <c r="J427" s="53"/>
      <c r="K427" s="192"/>
      <c r="L427" s="192"/>
      <c r="M427" s="192"/>
      <c r="N427" s="192"/>
      <c r="O427" s="192"/>
      <c r="P427" s="192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40"/>
      <c r="AT427" s="40"/>
      <c r="AU427" s="40"/>
      <c r="AV427" s="40"/>
      <c r="AW427" s="40"/>
      <c r="AX427" s="40"/>
      <c r="AY427" s="40"/>
      <c r="AZ427" s="40"/>
      <c r="BA427" s="40"/>
      <c r="BB427" s="40"/>
      <c r="BC427" s="40"/>
      <c r="BD427" s="40"/>
      <c r="BE427" s="40"/>
      <c r="BF427" s="40"/>
      <c r="BG427" s="40"/>
      <c r="BH427" s="40"/>
      <c r="BI427" s="40"/>
      <c r="BJ427" s="40"/>
      <c r="BK427" s="40"/>
      <c r="BL427" s="40"/>
      <c r="BM427" s="40"/>
      <c r="BN427" s="40"/>
      <c r="BO427" s="40"/>
      <c r="BP427" s="40"/>
      <c r="BQ427" s="40"/>
      <c r="BR427" s="40"/>
      <c r="BS427" s="40"/>
      <c r="BT427" s="40"/>
      <c r="BU427" s="40"/>
      <c r="BV427" s="40"/>
      <c r="BW427" s="40"/>
      <c r="BX427" s="40"/>
      <c r="BY427" s="40"/>
      <c r="BZ427" s="40"/>
      <c r="CA427" s="40"/>
      <c r="CB427" s="40"/>
      <c r="CC427" s="40"/>
      <c r="CD427" s="40"/>
      <c r="CE427" s="40"/>
      <c r="CF427" s="40"/>
      <c r="CG427" s="40"/>
      <c r="CH427" s="40"/>
      <c r="CI427" s="40"/>
      <c r="CJ427" s="40"/>
      <c r="CK427" s="40"/>
      <c r="CL427" s="40"/>
      <c r="CM427" s="40"/>
      <c r="CN427" s="40"/>
      <c r="CO427" s="40"/>
      <c r="CP427" s="40"/>
      <c r="CQ427" s="40"/>
      <c r="CR427" s="40"/>
      <c r="CS427" s="40"/>
    </row>
    <row r="428" spans="1:97">
      <c r="A428" s="397"/>
      <c r="B428" s="397"/>
      <c r="C428" s="397"/>
      <c r="D428" s="397"/>
      <c r="E428" s="397"/>
      <c r="F428" s="397"/>
      <c r="G428" s="180"/>
      <c r="H428" s="46"/>
      <c r="I428" s="53"/>
      <c r="J428" s="53"/>
      <c r="K428" s="192"/>
      <c r="L428" s="192"/>
      <c r="M428" s="192"/>
      <c r="N428" s="192"/>
      <c r="O428" s="192"/>
      <c r="P428" s="192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40"/>
      <c r="AT428" s="40"/>
      <c r="AU428" s="40"/>
      <c r="AV428" s="40"/>
      <c r="AW428" s="40"/>
      <c r="AX428" s="40"/>
      <c r="AY428" s="40"/>
      <c r="AZ428" s="40"/>
      <c r="BA428" s="40"/>
      <c r="BB428" s="40"/>
      <c r="BC428" s="40"/>
      <c r="BD428" s="40"/>
      <c r="BE428" s="40"/>
      <c r="BF428" s="40"/>
      <c r="BG428" s="40"/>
      <c r="BH428" s="40"/>
      <c r="BI428" s="40"/>
      <c r="BJ428" s="40"/>
      <c r="BK428" s="40"/>
      <c r="BL428" s="40"/>
      <c r="BM428" s="40"/>
      <c r="BN428" s="40"/>
      <c r="BO428" s="40"/>
      <c r="BP428" s="40"/>
      <c r="BQ428" s="40"/>
      <c r="BR428" s="40"/>
      <c r="BS428" s="40"/>
      <c r="BT428" s="40"/>
      <c r="BU428" s="40"/>
      <c r="BV428" s="40"/>
      <c r="BW428" s="40"/>
      <c r="BX428" s="40"/>
      <c r="BY428" s="40"/>
      <c r="BZ428" s="40"/>
      <c r="CA428" s="40"/>
      <c r="CB428" s="40"/>
      <c r="CC428" s="40"/>
      <c r="CD428" s="40"/>
      <c r="CE428" s="40"/>
      <c r="CF428" s="40"/>
      <c r="CG428" s="40"/>
      <c r="CH428" s="40"/>
      <c r="CI428" s="40"/>
      <c r="CJ428" s="40"/>
      <c r="CK428" s="40"/>
      <c r="CL428" s="40"/>
      <c r="CM428" s="40"/>
      <c r="CN428" s="40"/>
      <c r="CO428" s="40"/>
      <c r="CP428" s="40"/>
      <c r="CQ428" s="40"/>
      <c r="CR428" s="40"/>
      <c r="CS428" s="40"/>
    </row>
    <row r="429" spans="1:97">
      <c r="A429" s="397"/>
      <c r="B429" s="397"/>
      <c r="C429" s="397"/>
      <c r="D429" s="397"/>
      <c r="E429" s="397"/>
      <c r="F429" s="397"/>
      <c r="G429" s="180"/>
      <c r="H429" s="46"/>
      <c r="I429" s="53"/>
      <c r="J429" s="53"/>
      <c r="K429" s="192"/>
      <c r="L429" s="192"/>
      <c r="M429" s="192"/>
      <c r="N429" s="192"/>
      <c r="O429" s="192"/>
      <c r="P429" s="192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40"/>
      <c r="AT429" s="40"/>
      <c r="AU429" s="40"/>
      <c r="AV429" s="40"/>
      <c r="AW429" s="40"/>
      <c r="AX429" s="40"/>
      <c r="AY429" s="40"/>
      <c r="AZ429" s="40"/>
      <c r="BA429" s="40"/>
      <c r="BB429" s="40"/>
      <c r="BC429" s="40"/>
      <c r="BD429" s="40"/>
      <c r="BE429" s="40"/>
      <c r="BF429" s="40"/>
      <c r="BG429" s="40"/>
      <c r="BH429" s="40"/>
      <c r="BI429" s="40"/>
      <c r="BJ429" s="40"/>
      <c r="BK429" s="40"/>
      <c r="BL429" s="40"/>
      <c r="BM429" s="40"/>
      <c r="BN429" s="40"/>
      <c r="BO429" s="40"/>
      <c r="BP429" s="40"/>
      <c r="BQ429" s="40"/>
      <c r="BR429" s="40"/>
      <c r="BS429" s="40"/>
      <c r="BT429" s="40"/>
      <c r="BU429" s="40"/>
      <c r="BV429" s="40"/>
      <c r="BW429" s="40"/>
      <c r="BX429" s="40"/>
      <c r="BY429" s="40"/>
      <c r="BZ429" s="40"/>
      <c r="CA429" s="40"/>
      <c r="CB429" s="40"/>
      <c r="CC429" s="40"/>
      <c r="CD429" s="40"/>
      <c r="CE429" s="40"/>
      <c r="CF429" s="40"/>
      <c r="CG429" s="40"/>
      <c r="CH429" s="40"/>
      <c r="CI429" s="40"/>
      <c r="CJ429" s="40"/>
      <c r="CK429" s="40"/>
      <c r="CL429" s="40"/>
      <c r="CM429" s="40"/>
      <c r="CN429" s="40"/>
      <c r="CO429" s="40"/>
      <c r="CP429" s="40"/>
      <c r="CQ429" s="40"/>
      <c r="CR429" s="40"/>
      <c r="CS429" s="40"/>
    </row>
    <row r="430" spans="1:97">
      <c r="A430" s="397"/>
      <c r="B430" s="397"/>
      <c r="C430" s="397"/>
      <c r="D430" s="397"/>
      <c r="E430" s="397"/>
      <c r="F430" s="397"/>
      <c r="G430" s="180"/>
      <c r="H430" s="46"/>
      <c r="I430" s="53"/>
      <c r="J430" s="53"/>
      <c r="K430" s="192"/>
      <c r="L430" s="192"/>
      <c r="M430" s="192"/>
      <c r="N430" s="192"/>
      <c r="O430" s="192"/>
      <c r="P430" s="192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40"/>
      <c r="AT430" s="40"/>
      <c r="AU430" s="40"/>
      <c r="AV430" s="40"/>
      <c r="AW430" s="40"/>
      <c r="AX430" s="40"/>
      <c r="AY430" s="40"/>
      <c r="AZ430" s="40"/>
      <c r="BA430" s="40"/>
      <c r="BB430" s="40"/>
      <c r="BC430" s="40"/>
      <c r="BD430" s="40"/>
      <c r="BE430" s="40"/>
      <c r="BF430" s="40"/>
      <c r="BG430" s="40"/>
      <c r="BH430" s="40"/>
      <c r="BI430" s="40"/>
      <c r="BJ430" s="40"/>
      <c r="BK430" s="40"/>
      <c r="BL430" s="40"/>
      <c r="BM430" s="40"/>
      <c r="BN430" s="40"/>
      <c r="BO430" s="40"/>
      <c r="BP430" s="40"/>
      <c r="BQ430" s="40"/>
      <c r="BR430" s="40"/>
      <c r="BS430" s="40"/>
      <c r="BT430" s="40"/>
      <c r="BU430" s="40"/>
      <c r="BV430" s="40"/>
      <c r="BW430" s="40"/>
      <c r="BX430" s="40"/>
      <c r="BY430" s="40"/>
      <c r="BZ430" s="40"/>
      <c r="CA430" s="40"/>
      <c r="CB430" s="40"/>
      <c r="CC430" s="40"/>
      <c r="CD430" s="40"/>
      <c r="CE430" s="40"/>
      <c r="CF430" s="40"/>
      <c r="CG430" s="40"/>
      <c r="CH430" s="40"/>
      <c r="CI430" s="40"/>
      <c r="CJ430" s="40"/>
      <c r="CK430" s="40"/>
      <c r="CL430" s="40"/>
      <c r="CM430" s="40"/>
      <c r="CN430" s="40"/>
      <c r="CO430" s="40"/>
      <c r="CP430" s="40"/>
      <c r="CQ430" s="40"/>
      <c r="CR430" s="40"/>
      <c r="CS430" s="40"/>
    </row>
    <row r="431" spans="1:97">
      <c r="A431" s="397"/>
      <c r="B431" s="397"/>
      <c r="C431" s="397"/>
      <c r="D431" s="397"/>
      <c r="E431" s="397"/>
      <c r="F431" s="397"/>
      <c r="G431" s="180"/>
      <c r="H431" s="46"/>
      <c r="I431" s="53"/>
      <c r="J431" s="53"/>
      <c r="K431" s="192"/>
      <c r="L431" s="192"/>
      <c r="M431" s="192"/>
      <c r="N431" s="192"/>
      <c r="O431" s="192"/>
      <c r="P431" s="192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40"/>
      <c r="AT431" s="40"/>
      <c r="AU431" s="40"/>
      <c r="AV431" s="40"/>
      <c r="AW431" s="40"/>
      <c r="AX431" s="40"/>
      <c r="AY431" s="40"/>
      <c r="AZ431" s="40"/>
      <c r="BA431" s="40"/>
      <c r="BB431" s="40"/>
      <c r="BC431" s="40"/>
      <c r="BD431" s="40"/>
      <c r="BE431" s="40"/>
      <c r="BF431" s="40"/>
      <c r="BG431" s="40"/>
      <c r="BH431" s="40"/>
      <c r="BI431" s="40"/>
      <c r="BJ431" s="40"/>
      <c r="BK431" s="40"/>
      <c r="BL431" s="40"/>
      <c r="BM431" s="40"/>
      <c r="BN431" s="40"/>
      <c r="BO431" s="40"/>
      <c r="BP431" s="40"/>
      <c r="BQ431" s="40"/>
      <c r="BR431" s="40"/>
      <c r="BS431" s="40"/>
      <c r="BT431" s="40"/>
      <c r="BU431" s="40"/>
      <c r="BV431" s="40"/>
      <c r="BW431" s="40"/>
      <c r="BX431" s="40"/>
      <c r="BY431" s="40"/>
      <c r="BZ431" s="40"/>
      <c r="CA431" s="40"/>
      <c r="CB431" s="40"/>
      <c r="CC431" s="40"/>
      <c r="CD431" s="40"/>
      <c r="CE431" s="40"/>
      <c r="CF431" s="40"/>
      <c r="CG431" s="40"/>
      <c r="CH431" s="40"/>
      <c r="CI431" s="40"/>
      <c r="CJ431" s="40"/>
      <c r="CK431" s="40"/>
      <c r="CL431" s="40"/>
      <c r="CM431" s="40"/>
      <c r="CN431" s="40"/>
      <c r="CO431" s="40"/>
      <c r="CP431" s="40"/>
      <c r="CQ431" s="40"/>
      <c r="CR431" s="40"/>
      <c r="CS431" s="40"/>
    </row>
    <row r="432" spans="1:97">
      <c r="A432" s="397"/>
      <c r="B432" s="397"/>
      <c r="C432" s="397"/>
      <c r="D432" s="397"/>
      <c r="E432" s="397"/>
      <c r="F432" s="397"/>
      <c r="G432" s="180"/>
      <c r="H432" s="46"/>
      <c r="I432" s="53"/>
      <c r="J432" s="53"/>
      <c r="K432" s="192"/>
      <c r="L432" s="192"/>
      <c r="M432" s="192"/>
      <c r="N432" s="192"/>
      <c r="O432" s="192"/>
      <c r="P432" s="192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40"/>
      <c r="AT432" s="40"/>
      <c r="AU432" s="40"/>
      <c r="AV432" s="40"/>
      <c r="AW432" s="40"/>
      <c r="AX432" s="40"/>
      <c r="AY432" s="40"/>
      <c r="AZ432" s="40"/>
      <c r="BA432" s="40"/>
      <c r="BB432" s="40"/>
      <c r="BC432" s="40"/>
      <c r="BD432" s="40"/>
      <c r="BE432" s="40"/>
      <c r="BF432" s="40"/>
      <c r="BG432" s="40"/>
      <c r="BH432" s="40"/>
      <c r="BI432" s="40"/>
      <c r="BJ432" s="40"/>
      <c r="BK432" s="40"/>
      <c r="BL432" s="40"/>
      <c r="BM432" s="40"/>
      <c r="BN432" s="40"/>
      <c r="BO432" s="40"/>
      <c r="BP432" s="40"/>
      <c r="BQ432" s="40"/>
      <c r="BR432" s="40"/>
      <c r="BS432" s="40"/>
      <c r="BT432" s="40"/>
      <c r="BU432" s="40"/>
      <c r="BV432" s="40"/>
      <c r="BW432" s="40"/>
      <c r="BX432" s="40"/>
      <c r="BY432" s="40"/>
      <c r="BZ432" s="40"/>
      <c r="CA432" s="40"/>
      <c r="CB432" s="40"/>
      <c r="CC432" s="40"/>
      <c r="CD432" s="40"/>
      <c r="CE432" s="40"/>
      <c r="CF432" s="40"/>
      <c r="CG432" s="40"/>
      <c r="CH432" s="40"/>
      <c r="CI432" s="40"/>
      <c r="CJ432" s="40"/>
      <c r="CK432" s="40"/>
      <c r="CL432" s="40"/>
      <c r="CM432" s="40"/>
      <c r="CN432" s="40"/>
      <c r="CO432" s="40"/>
      <c r="CP432" s="40"/>
      <c r="CQ432" s="40"/>
      <c r="CR432" s="40"/>
      <c r="CS432" s="40"/>
    </row>
    <row r="433" spans="1:97">
      <c r="A433" s="397"/>
      <c r="B433" s="397"/>
      <c r="C433" s="397"/>
      <c r="D433" s="397"/>
      <c r="E433" s="397"/>
      <c r="F433" s="397"/>
      <c r="G433" s="180"/>
      <c r="H433" s="46"/>
      <c r="I433" s="53"/>
      <c r="J433" s="53"/>
      <c r="K433" s="192"/>
      <c r="L433" s="192"/>
      <c r="M433" s="192"/>
      <c r="N433" s="192"/>
      <c r="O433" s="192"/>
      <c r="P433" s="192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40"/>
      <c r="AT433" s="40"/>
      <c r="AU433" s="40"/>
      <c r="AV433" s="40"/>
      <c r="AW433" s="40"/>
      <c r="AX433" s="40"/>
      <c r="AY433" s="40"/>
      <c r="AZ433" s="40"/>
      <c r="BA433" s="40"/>
      <c r="BB433" s="40"/>
      <c r="BC433" s="40"/>
      <c r="BD433" s="40"/>
      <c r="BE433" s="40"/>
      <c r="BF433" s="40"/>
      <c r="BG433" s="40"/>
      <c r="BH433" s="40"/>
      <c r="BI433" s="40"/>
      <c r="BJ433" s="40"/>
      <c r="BK433" s="40"/>
      <c r="BL433" s="40"/>
      <c r="BM433" s="40"/>
      <c r="BN433" s="40"/>
      <c r="BO433" s="40"/>
      <c r="BP433" s="40"/>
      <c r="BQ433" s="40"/>
      <c r="BR433" s="40"/>
      <c r="BS433" s="40"/>
      <c r="BT433" s="40"/>
      <c r="BU433" s="40"/>
      <c r="BV433" s="40"/>
      <c r="BW433" s="40"/>
      <c r="BX433" s="40"/>
      <c r="BY433" s="40"/>
      <c r="BZ433" s="40"/>
      <c r="CA433" s="40"/>
      <c r="CB433" s="40"/>
      <c r="CC433" s="40"/>
      <c r="CD433" s="40"/>
      <c r="CE433" s="40"/>
      <c r="CF433" s="40"/>
      <c r="CG433" s="40"/>
      <c r="CH433" s="40"/>
      <c r="CI433" s="40"/>
      <c r="CJ433" s="40"/>
      <c r="CK433" s="40"/>
      <c r="CL433" s="40"/>
      <c r="CM433" s="40"/>
      <c r="CN433" s="40"/>
      <c r="CO433" s="40"/>
      <c r="CP433" s="40"/>
      <c r="CQ433" s="40"/>
      <c r="CR433" s="40"/>
      <c r="CS433" s="40"/>
    </row>
    <row r="434" spans="1:97">
      <c r="A434" s="397"/>
      <c r="B434" s="397"/>
      <c r="C434" s="397"/>
      <c r="D434" s="397"/>
      <c r="E434" s="397"/>
      <c r="F434" s="397"/>
      <c r="G434" s="180"/>
      <c r="H434" s="46"/>
      <c r="I434" s="53"/>
      <c r="J434" s="53"/>
      <c r="K434" s="192"/>
      <c r="L434" s="192"/>
      <c r="M434" s="192"/>
      <c r="N434" s="192"/>
      <c r="O434" s="192"/>
      <c r="P434" s="192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40"/>
      <c r="AT434" s="40"/>
      <c r="AU434" s="40"/>
      <c r="AV434" s="40"/>
      <c r="AW434" s="40"/>
      <c r="AX434" s="40"/>
      <c r="AY434" s="40"/>
      <c r="AZ434" s="40"/>
      <c r="BA434" s="40"/>
      <c r="BB434" s="40"/>
      <c r="BC434" s="40"/>
      <c r="BD434" s="40"/>
      <c r="BE434" s="40"/>
      <c r="BF434" s="40"/>
      <c r="BG434" s="40"/>
      <c r="BH434" s="40"/>
      <c r="BI434" s="40"/>
      <c r="BJ434" s="40"/>
      <c r="BK434" s="40"/>
      <c r="BL434" s="40"/>
      <c r="BM434" s="40"/>
      <c r="BN434" s="40"/>
      <c r="BO434" s="40"/>
      <c r="BP434" s="40"/>
      <c r="BQ434" s="40"/>
      <c r="BR434" s="40"/>
      <c r="BS434" s="40"/>
      <c r="BT434" s="40"/>
      <c r="BU434" s="40"/>
      <c r="BV434" s="40"/>
      <c r="BW434" s="40"/>
      <c r="BX434" s="40"/>
      <c r="BY434" s="40"/>
      <c r="BZ434" s="40"/>
      <c r="CA434" s="40"/>
      <c r="CB434" s="40"/>
      <c r="CC434" s="40"/>
      <c r="CD434" s="40"/>
      <c r="CE434" s="40"/>
      <c r="CF434" s="40"/>
      <c r="CG434" s="40"/>
      <c r="CH434" s="40"/>
      <c r="CI434" s="40"/>
      <c r="CJ434" s="40"/>
      <c r="CK434" s="40"/>
      <c r="CL434" s="40"/>
      <c r="CM434" s="40"/>
      <c r="CN434" s="40"/>
      <c r="CO434" s="40"/>
      <c r="CP434" s="40"/>
      <c r="CQ434" s="40"/>
      <c r="CR434" s="40"/>
      <c r="CS434" s="40"/>
    </row>
    <row r="435" spans="1:97">
      <c r="A435" s="397"/>
      <c r="B435" s="397"/>
      <c r="C435" s="397"/>
      <c r="D435" s="397"/>
      <c r="E435" s="397"/>
      <c r="F435" s="397"/>
      <c r="G435" s="180"/>
      <c r="H435" s="46"/>
      <c r="I435" s="53"/>
      <c r="J435" s="53"/>
      <c r="K435" s="192"/>
      <c r="L435" s="192"/>
      <c r="M435" s="192"/>
      <c r="N435" s="192"/>
      <c r="O435" s="192"/>
      <c r="P435" s="192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40"/>
      <c r="AT435" s="40"/>
      <c r="AU435" s="40"/>
      <c r="AV435" s="40"/>
      <c r="AW435" s="40"/>
      <c r="AX435" s="40"/>
      <c r="AY435" s="40"/>
      <c r="AZ435" s="40"/>
      <c r="BA435" s="40"/>
      <c r="BB435" s="40"/>
      <c r="BC435" s="40"/>
      <c r="BD435" s="40"/>
      <c r="BE435" s="40"/>
      <c r="BF435" s="40"/>
      <c r="BG435" s="40"/>
      <c r="BH435" s="40"/>
      <c r="BI435" s="40"/>
      <c r="BJ435" s="40"/>
      <c r="BK435" s="40"/>
      <c r="BL435" s="40"/>
      <c r="BM435" s="40"/>
      <c r="BN435" s="40"/>
      <c r="BO435" s="40"/>
      <c r="BP435" s="40"/>
      <c r="BQ435" s="40"/>
      <c r="BR435" s="40"/>
      <c r="BS435" s="40"/>
      <c r="BT435" s="40"/>
      <c r="BU435" s="40"/>
      <c r="BV435" s="40"/>
      <c r="BW435" s="40"/>
      <c r="BX435" s="40"/>
      <c r="BY435" s="40"/>
      <c r="BZ435" s="40"/>
      <c r="CA435" s="40"/>
      <c r="CB435" s="40"/>
      <c r="CC435" s="40"/>
      <c r="CD435" s="40"/>
      <c r="CE435" s="40"/>
      <c r="CF435" s="40"/>
      <c r="CG435" s="40"/>
      <c r="CH435" s="40"/>
      <c r="CI435" s="40"/>
      <c r="CJ435" s="40"/>
      <c r="CK435" s="40"/>
      <c r="CL435" s="40"/>
      <c r="CM435" s="40"/>
      <c r="CN435" s="40"/>
      <c r="CO435" s="40"/>
      <c r="CP435" s="40"/>
      <c r="CQ435" s="40"/>
      <c r="CR435" s="40"/>
      <c r="CS435" s="40"/>
    </row>
    <row r="436" spans="1:97">
      <c r="A436" s="397"/>
      <c r="B436" s="397"/>
      <c r="C436" s="397"/>
      <c r="D436" s="397"/>
      <c r="E436" s="397"/>
      <c r="F436" s="397"/>
      <c r="G436" s="180"/>
      <c r="H436" s="46"/>
      <c r="I436" s="53"/>
      <c r="J436" s="53"/>
      <c r="K436" s="192"/>
      <c r="L436" s="192"/>
      <c r="M436" s="192"/>
      <c r="N436" s="192"/>
      <c r="O436" s="192"/>
      <c r="P436" s="192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40"/>
      <c r="AT436" s="40"/>
      <c r="AU436" s="40"/>
      <c r="AV436" s="40"/>
      <c r="AW436" s="40"/>
      <c r="AX436" s="40"/>
      <c r="AY436" s="40"/>
      <c r="AZ436" s="40"/>
      <c r="BA436" s="40"/>
      <c r="BB436" s="40"/>
      <c r="BC436" s="40"/>
      <c r="BD436" s="40"/>
      <c r="BE436" s="40"/>
      <c r="BF436" s="40"/>
      <c r="BG436" s="40"/>
      <c r="BH436" s="40"/>
      <c r="BI436" s="40"/>
      <c r="BJ436" s="40"/>
      <c r="BK436" s="40"/>
      <c r="BL436" s="40"/>
      <c r="BM436" s="40"/>
      <c r="BN436" s="40"/>
      <c r="BO436" s="40"/>
      <c r="BP436" s="40"/>
      <c r="BQ436" s="40"/>
      <c r="BR436" s="40"/>
      <c r="BS436" s="40"/>
      <c r="BT436" s="40"/>
      <c r="BU436" s="40"/>
      <c r="BV436" s="40"/>
      <c r="BW436" s="40"/>
      <c r="BX436" s="40"/>
      <c r="BY436" s="40"/>
      <c r="BZ436" s="40"/>
      <c r="CA436" s="40"/>
      <c r="CB436" s="40"/>
      <c r="CC436" s="40"/>
      <c r="CD436" s="40"/>
      <c r="CE436" s="40"/>
      <c r="CF436" s="40"/>
      <c r="CG436" s="40"/>
      <c r="CH436" s="40"/>
      <c r="CI436" s="40"/>
      <c r="CJ436" s="40"/>
      <c r="CK436" s="40"/>
      <c r="CL436" s="40"/>
      <c r="CM436" s="40"/>
      <c r="CN436" s="40"/>
      <c r="CO436" s="40"/>
      <c r="CP436" s="40"/>
      <c r="CQ436" s="40"/>
      <c r="CR436" s="40"/>
      <c r="CS436" s="40"/>
    </row>
    <row r="437" spans="1:97">
      <c r="A437" s="397"/>
      <c r="B437" s="397"/>
      <c r="C437" s="397"/>
      <c r="D437" s="397"/>
      <c r="E437" s="397"/>
      <c r="F437" s="397"/>
      <c r="G437" s="180"/>
      <c r="H437" s="46"/>
      <c r="I437" s="53"/>
      <c r="J437" s="53"/>
      <c r="K437" s="192"/>
      <c r="L437" s="192"/>
      <c r="M437" s="192"/>
      <c r="N437" s="192"/>
      <c r="O437" s="192"/>
      <c r="P437" s="192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40"/>
      <c r="AT437" s="40"/>
      <c r="AU437" s="40"/>
      <c r="AV437" s="40"/>
      <c r="AW437" s="40"/>
      <c r="AX437" s="40"/>
      <c r="AY437" s="40"/>
      <c r="AZ437" s="40"/>
      <c r="BA437" s="40"/>
      <c r="BB437" s="40"/>
      <c r="BC437" s="40"/>
      <c r="BD437" s="40"/>
      <c r="BE437" s="40"/>
      <c r="BF437" s="40"/>
      <c r="BG437" s="40"/>
      <c r="BH437" s="40"/>
      <c r="BI437" s="40"/>
      <c r="BJ437" s="40"/>
      <c r="BK437" s="40"/>
      <c r="BL437" s="40"/>
      <c r="BM437" s="40"/>
      <c r="BN437" s="40"/>
      <c r="BO437" s="40"/>
      <c r="BP437" s="40"/>
      <c r="BQ437" s="40"/>
      <c r="BR437" s="40"/>
      <c r="BS437" s="40"/>
      <c r="BT437" s="40"/>
      <c r="BU437" s="40"/>
      <c r="BV437" s="40"/>
      <c r="BW437" s="40"/>
      <c r="BX437" s="40"/>
      <c r="BY437" s="40"/>
      <c r="BZ437" s="40"/>
      <c r="CA437" s="40"/>
      <c r="CB437" s="40"/>
      <c r="CC437" s="40"/>
      <c r="CD437" s="40"/>
      <c r="CE437" s="40"/>
      <c r="CF437" s="40"/>
      <c r="CG437" s="40"/>
      <c r="CH437" s="40"/>
      <c r="CI437" s="40"/>
      <c r="CJ437" s="40"/>
      <c r="CK437" s="40"/>
      <c r="CL437" s="40"/>
      <c r="CM437" s="40"/>
      <c r="CN437" s="40"/>
      <c r="CO437" s="40"/>
      <c r="CP437" s="40"/>
      <c r="CQ437" s="40"/>
      <c r="CR437" s="40"/>
      <c r="CS437" s="40"/>
    </row>
    <row r="438" spans="1:97">
      <c r="A438" s="397"/>
      <c r="B438" s="397"/>
      <c r="C438" s="397"/>
      <c r="D438" s="397"/>
      <c r="E438" s="397"/>
      <c r="F438" s="397"/>
      <c r="G438" s="180"/>
      <c r="H438" s="46"/>
      <c r="I438" s="53"/>
      <c r="J438" s="53"/>
      <c r="K438" s="192"/>
      <c r="L438" s="192"/>
      <c r="M438" s="192"/>
      <c r="N438" s="192"/>
      <c r="O438" s="192"/>
      <c r="P438" s="192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40"/>
      <c r="AT438" s="40"/>
      <c r="AU438" s="40"/>
      <c r="AV438" s="40"/>
      <c r="AW438" s="40"/>
      <c r="AX438" s="40"/>
      <c r="AY438" s="40"/>
      <c r="AZ438" s="40"/>
      <c r="BA438" s="40"/>
      <c r="BB438" s="40"/>
      <c r="BC438" s="40"/>
      <c r="BD438" s="40"/>
      <c r="BE438" s="40"/>
      <c r="BF438" s="40"/>
      <c r="BG438" s="40"/>
      <c r="BH438" s="40"/>
      <c r="BI438" s="40"/>
      <c r="BJ438" s="40"/>
      <c r="BK438" s="40"/>
      <c r="BL438" s="40"/>
      <c r="BM438" s="40"/>
      <c r="BN438" s="40"/>
      <c r="BO438" s="40"/>
      <c r="BP438" s="40"/>
      <c r="BQ438" s="40"/>
      <c r="BR438" s="40"/>
      <c r="BS438" s="40"/>
      <c r="BT438" s="40"/>
      <c r="BU438" s="40"/>
      <c r="BV438" s="40"/>
      <c r="BW438" s="40"/>
      <c r="BX438" s="40"/>
      <c r="BY438" s="40"/>
      <c r="BZ438" s="40"/>
      <c r="CA438" s="40"/>
      <c r="CB438" s="40"/>
      <c r="CC438" s="40"/>
      <c r="CD438" s="40"/>
      <c r="CE438" s="40"/>
      <c r="CF438" s="40"/>
      <c r="CG438" s="40"/>
      <c r="CH438" s="40"/>
      <c r="CI438" s="40"/>
      <c r="CJ438" s="40"/>
      <c r="CK438" s="40"/>
      <c r="CL438" s="40"/>
      <c r="CM438" s="40"/>
      <c r="CN438" s="40"/>
      <c r="CO438" s="40"/>
      <c r="CP438" s="40"/>
      <c r="CQ438" s="40"/>
      <c r="CR438" s="40"/>
      <c r="CS438" s="40"/>
    </row>
    <row r="439" spans="1:97">
      <c r="A439" s="397"/>
      <c r="B439" s="397"/>
      <c r="C439" s="397"/>
      <c r="D439" s="397"/>
      <c r="E439" s="397"/>
      <c r="F439" s="397"/>
      <c r="G439" s="180"/>
      <c r="H439" s="46"/>
      <c r="I439" s="53"/>
      <c r="J439" s="53"/>
      <c r="K439" s="192"/>
      <c r="L439" s="192"/>
      <c r="M439" s="192"/>
      <c r="N439" s="192"/>
      <c r="O439" s="192"/>
      <c r="P439" s="192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40"/>
      <c r="AR439" s="40"/>
      <c r="AS439" s="40"/>
      <c r="AT439" s="40"/>
      <c r="AU439" s="40"/>
      <c r="AV439" s="40"/>
      <c r="AW439" s="40"/>
      <c r="AX439" s="40"/>
      <c r="AY439" s="40"/>
      <c r="AZ439" s="40"/>
      <c r="BA439" s="40"/>
      <c r="BB439" s="40"/>
      <c r="BC439" s="40"/>
      <c r="BD439" s="40"/>
      <c r="BE439" s="40"/>
      <c r="BF439" s="40"/>
      <c r="BG439" s="40"/>
      <c r="BH439" s="40"/>
      <c r="BI439" s="40"/>
      <c r="BJ439" s="40"/>
      <c r="BK439" s="40"/>
      <c r="BL439" s="40"/>
      <c r="BM439" s="40"/>
      <c r="BN439" s="40"/>
      <c r="BO439" s="40"/>
      <c r="BP439" s="40"/>
      <c r="BQ439" s="40"/>
      <c r="BR439" s="40"/>
      <c r="BS439" s="40"/>
      <c r="BT439" s="40"/>
      <c r="BU439" s="40"/>
      <c r="BV439" s="40"/>
      <c r="BW439" s="40"/>
      <c r="BX439" s="40"/>
      <c r="BY439" s="40"/>
      <c r="BZ439" s="40"/>
      <c r="CA439" s="40"/>
      <c r="CB439" s="40"/>
      <c r="CC439" s="40"/>
      <c r="CD439" s="40"/>
      <c r="CE439" s="40"/>
      <c r="CF439" s="40"/>
      <c r="CG439" s="40"/>
      <c r="CH439" s="40"/>
      <c r="CI439" s="40"/>
      <c r="CJ439" s="40"/>
      <c r="CK439" s="40"/>
      <c r="CL439" s="40"/>
      <c r="CM439" s="40"/>
      <c r="CN439" s="40"/>
      <c r="CO439" s="40"/>
      <c r="CP439" s="40"/>
      <c r="CQ439" s="40"/>
      <c r="CR439" s="40"/>
      <c r="CS439" s="40"/>
    </row>
    <row r="440" spans="1:97">
      <c r="A440" s="397"/>
      <c r="B440" s="397"/>
      <c r="C440" s="397"/>
      <c r="D440" s="397"/>
      <c r="E440" s="397"/>
      <c r="F440" s="397"/>
      <c r="G440" s="180"/>
      <c r="H440" s="46"/>
      <c r="I440" s="53"/>
      <c r="J440" s="53"/>
      <c r="K440" s="192"/>
      <c r="L440" s="192"/>
      <c r="M440" s="192"/>
      <c r="N440" s="192"/>
      <c r="O440" s="192"/>
      <c r="P440" s="192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40"/>
      <c r="AR440" s="40"/>
      <c r="AS440" s="40"/>
      <c r="AT440" s="40"/>
      <c r="AU440" s="40"/>
      <c r="AV440" s="40"/>
      <c r="AW440" s="40"/>
      <c r="AX440" s="40"/>
      <c r="AY440" s="40"/>
      <c r="AZ440" s="40"/>
      <c r="BA440" s="40"/>
      <c r="BB440" s="40"/>
      <c r="BC440" s="40"/>
      <c r="BD440" s="40"/>
      <c r="BE440" s="40"/>
      <c r="BF440" s="40"/>
      <c r="BG440" s="40"/>
      <c r="BH440" s="40"/>
      <c r="BI440" s="40"/>
      <c r="BJ440" s="40"/>
      <c r="BK440" s="40"/>
      <c r="BL440" s="40"/>
      <c r="BM440" s="40"/>
      <c r="BN440" s="40"/>
      <c r="BO440" s="40"/>
      <c r="BP440" s="40"/>
      <c r="BQ440" s="40"/>
      <c r="BR440" s="40"/>
      <c r="BS440" s="40"/>
      <c r="BT440" s="40"/>
      <c r="BU440" s="40"/>
      <c r="BV440" s="40"/>
      <c r="BW440" s="40"/>
      <c r="BX440" s="40"/>
      <c r="BY440" s="40"/>
      <c r="BZ440" s="40"/>
      <c r="CA440" s="40"/>
      <c r="CB440" s="40"/>
      <c r="CC440" s="40"/>
      <c r="CD440" s="40"/>
      <c r="CE440" s="40"/>
      <c r="CF440" s="40"/>
      <c r="CG440" s="40"/>
      <c r="CH440" s="40"/>
      <c r="CI440" s="40"/>
      <c r="CJ440" s="40"/>
      <c r="CK440" s="40"/>
      <c r="CL440" s="40"/>
      <c r="CM440" s="40"/>
      <c r="CN440" s="40"/>
      <c r="CO440" s="40"/>
      <c r="CP440" s="40"/>
      <c r="CQ440" s="40"/>
      <c r="CR440" s="40"/>
      <c r="CS440" s="40"/>
    </row>
    <row r="441" spans="1:97">
      <c r="A441" s="397"/>
      <c r="B441" s="397"/>
      <c r="C441" s="397"/>
      <c r="D441" s="397"/>
      <c r="E441" s="397"/>
      <c r="F441" s="397"/>
      <c r="G441" s="180"/>
      <c r="H441" s="46"/>
      <c r="I441" s="53"/>
      <c r="J441" s="53"/>
      <c r="K441" s="192"/>
      <c r="L441" s="192"/>
      <c r="M441" s="192"/>
      <c r="N441" s="192"/>
      <c r="O441" s="192"/>
      <c r="P441" s="192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40"/>
      <c r="AR441" s="40"/>
      <c r="AS441" s="40"/>
      <c r="AT441" s="40"/>
      <c r="AU441" s="40"/>
      <c r="AV441" s="40"/>
      <c r="AW441" s="40"/>
      <c r="AX441" s="40"/>
      <c r="AY441" s="40"/>
      <c r="AZ441" s="40"/>
      <c r="BA441" s="40"/>
      <c r="BB441" s="40"/>
      <c r="BC441" s="40"/>
      <c r="BD441" s="40"/>
      <c r="BE441" s="40"/>
      <c r="BF441" s="40"/>
      <c r="BG441" s="40"/>
      <c r="BH441" s="40"/>
      <c r="BI441" s="40"/>
      <c r="BJ441" s="40"/>
      <c r="BK441" s="40"/>
      <c r="BL441" s="40"/>
      <c r="BM441" s="40"/>
      <c r="BN441" s="40"/>
      <c r="BO441" s="40"/>
      <c r="BP441" s="40"/>
      <c r="BQ441" s="40"/>
      <c r="BR441" s="40"/>
      <c r="BS441" s="40"/>
      <c r="BT441" s="40"/>
      <c r="BU441" s="40"/>
      <c r="BV441" s="40"/>
      <c r="BW441" s="40"/>
      <c r="BX441" s="40"/>
      <c r="BY441" s="40"/>
      <c r="BZ441" s="40"/>
      <c r="CA441" s="40"/>
      <c r="CB441" s="40"/>
      <c r="CC441" s="40"/>
      <c r="CD441" s="40"/>
      <c r="CE441" s="40"/>
      <c r="CF441" s="40"/>
      <c r="CG441" s="40"/>
      <c r="CH441" s="40"/>
      <c r="CI441" s="40"/>
      <c r="CJ441" s="40"/>
      <c r="CK441" s="40"/>
      <c r="CL441" s="40"/>
      <c r="CM441" s="40"/>
      <c r="CN441" s="40"/>
      <c r="CO441" s="40"/>
      <c r="CP441" s="40"/>
      <c r="CQ441" s="40"/>
      <c r="CR441" s="40"/>
      <c r="CS441" s="40"/>
    </row>
    <row r="442" spans="1:97">
      <c r="A442" s="397"/>
      <c r="B442" s="397"/>
      <c r="C442" s="397"/>
      <c r="D442" s="397"/>
      <c r="E442" s="397"/>
      <c r="F442" s="397"/>
      <c r="G442" s="180"/>
      <c r="H442" s="46"/>
      <c r="I442" s="53"/>
      <c r="J442" s="53"/>
      <c r="K442" s="192"/>
      <c r="L442" s="192"/>
      <c r="M442" s="192"/>
      <c r="N442" s="192"/>
      <c r="O442" s="192"/>
      <c r="P442" s="192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 s="40"/>
      <c r="AR442" s="40"/>
      <c r="AS442" s="40"/>
      <c r="AT442" s="40"/>
      <c r="AU442" s="40"/>
      <c r="AV442" s="40"/>
      <c r="AW442" s="40"/>
      <c r="AX442" s="40"/>
      <c r="AY442" s="40"/>
      <c r="AZ442" s="40"/>
      <c r="BA442" s="40"/>
      <c r="BB442" s="40"/>
      <c r="BC442" s="40"/>
      <c r="BD442" s="40"/>
      <c r="BE442" s="40"/>
      <c r="BF442" s="40"/>
      <c r="BG442" s="40"/>
      <c r="BH442" s="40"/>
      <c r="BI442" s="40"/>
      <c r="BJ442" s="40"/>
      <c r="BK442" s="40"/>
      <c r="BL442" s="40"/>
      <c r="BM442" s="40"/>
      <c r="BN442" s="40"/>
      <c r="BO442" s="40"/>
      <c r="BP442" s="40"/>
      <c r="BQ442" s="40"/>
      <c r="BR442" s="40"/>
      <c r="BS442" s="40"/>
      <c r="BT442" s="40"/>
      <c r="BU442" s="40"/>
      <c r="BV442" s="40"/>
      <c r="BW442" s="40"/>
      <c r="BX442" s="40"/>
      <c r="BY442" s="40"/>
      <c r="BZ442" s="40"/>
      <c r="CA442" s="40"/>
      <c r="CB442" s="40"/>
      <c r="CC442" s="40"/>
      <c r="CD442" s="40"/>
      <c r="CE442" s="40"/>
      <c r="CF442" s="40"/>
      <c r="CG442" s="40"/>
      <c r="CH442" s="40"/>
      <c r="CI442" s="40"/>
      <c r="CJ442" s="40"/>
      <c r="CK442" s="40"/>
      <c r="CL442" s="40"/>
      <c r="CM442" s="40"/>
      <c r="CN442" s="40"/>
      <c r="CO442" s="40"/>
      <c r="CP442" s="40"/>
      <c r="CQ442" s="40"/>
      <c r="CR442" s="40"/>
      <c r="CS442" s="40"/>
    </row>
    <row r="443" spans="1:97">
      <c r="A443" s="397"/>
      <c r="B443" s="397"/>
      <c r="C443" s="397"/>
      <c r="D443" s="397"/>
      <c r="E443" s="397"/>
      <c r="F443" s="397"/>
      <c r="G443" s="180"/>
      <c r="H443" s="46"/>
      <c r="I443" s="53"/>
      <c r="J443" s="53"/>
      <c r="K443" s="192"/>
      <c r="L443" s="192"/>
      <c r="M443" s="192"/>
      <c r="N443" s="192"/>
      <c r="O443" s="192"/>
      <c r="P443" s="192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AZ443" s="40"/>
      <c r="BA443" s="40"/>
      <c r="BB443" s="40"/>
      <c r="BC443" s="40"/>
      <c r="BD443" s="40"/>
      <c r="BE443" s="40"/>
      <c r="BF443" s="40"/>
      <c r="BG443" s="40"/>
      <c r="BH443" s="40"/>
      <c r="BI443" s="40"/>
      <c r="BJ443" s="40"/>
      <c r="BK443" s="40"/>
      <c r="BL443" s="40"/>
      <c r="BM443" s="40"/>
      <c r="BN443" s="40"/>
      <c r="BO443" s="40"/>
      <c r="BP443" s="40"/>
      <c r="BQ443" s="40"/>
      <c r="BR443" s="40"/>
      <c r="BS443" s="40"/>
      <c r="BT443" s="40"/>
      <c r="BU443" s="40"/>
      <c r="BV443" s="40"/>
      <c r="BW443" s="40"/>
      <c r="BX443" s="40"/>
      <c r="BY443" s="40"/>
      <c r="BZ443" s="40"/>
      <c r="CA443" s="40"/>
      <c r="CB443" s="40"/>
      <c r="CC443" s="40"/>
      <c r="CD443" s="40"/>
      <c r="CE443" s="40"/>
      <c r="CF443" s="40"/>
      <c r="CG443" s="40"/>
      <c r="CH443" s="40"/>
      <c r="CI443" s="40"/>
      <c r="CJ443" s="40"/>
      <c r="CK443" s="40"/>
      <c r="CL443" s="40"/>
      <c r="CM443" s="40"/>
      <c r="CN443" s="40"/>
      <c r="CO443" s="40"/>
      <c r="CP443" s="40"/>
      <c r="CQ443" s="40"/>
      <c r="CR443" s="40"/>
      <c r="CS443" s="40"/>
    </row>
    <row r="444" spans="1:97">
      <c r="A444" s="397"/>
      <c r="B444" s="397"/>
      <c r="C444" s="397"/>
      <c r="D444" s="397"/>
      <c r="E444" s="397"/>
      <c r="F444" s="397"/>
      <c r="G444" s="180"/>
      <c r="H444" s="46"/>
      <c r="I444" s="53"/>
      <c r="J444" s="53"/>
      <c r="K444" s="192"/>
      <c r="L444" s="192"/>
      <c r="M444" s="192"/>
      <c r="N444" s="192"/>
      <c r="O444" s="192"/>
      <c r="P444" s="192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40"/>
      <c r="AY444" s="40"/>
      <c r="AZ444" s="40"/>
      <c r="BA444" s="40"/>
      <c r="BB444" s="40"/>
      <c r="BC444" s="40"/>
      <c r="BD444" s="40"/>
      <c r="BE444" s="40"/>
      <c r="BF444" s="40"/>
      <c r="BG444" s="40"/>
      <c r="BH444" s="40"/>
      <c r="BI444" s="40"/>
      <c r="BJ444" s="40"/>
      <c r="BK444" s="40"/>
      <c r="BL444" s="40"/>
      <c r="BM444" s="40"/>
      <c r="BN444" s="40"/>
      <c r="BO444" s="40"/>
      <c r="BP444" s="40"/>
      <c r="BQ444" s="40"/>
      <c r="BR444" s="40"/>
      <c r="BS444" s="40"/>
      <c r="BT444" s="40"/>
      <c r="BU444" s="40"/>
      <c r="BV444" s="40"/>
      <c r="BW444" s="40"/>
      <c r="BX444" s="40"/>
      <c r="BY444" s="40"/>
      <c r="BZ444" s="40"/>
      <c r="CA444" s="40"/>
      <c r="CB444" s="40"/>
      <c r="CC444" s="40"/>
      <c r="CD444" s="40"/>
      <c r="CE444" s="40"/>
      <c r="CF444" s="40"/>
      <c r="CG444" s="40"/>
      <c r="CH444" s="40"/>
      <c r="CI444" s="40"/>
      <c r="CJ444" s="40"/>
      <c r="CK444" s="40"/>
      <c r="CL444" s="40"/>
      <c r="CM444" s="40"/>
      <c r="CN444" s="40"/>
      <c r="CO444" s="40"/>
      <c r="CP444" s="40"/>
      <c r="CQ444" s="40"/>
      <c r="CR444" s="40"/>
      <c r="CS444" s="40"/>
    </row>
    <row r="445" spans="1:97">
      <c r="A445" s="397"/>
      <c r="B445" s="397"/>
      <c r="C445" s="397"/>
      <c r="D445" s="397"/>
      <c r="E445" s="397"/>
      <c r="F445" s="397"/>
      <c r="G445" s="180"/>
      <c r="H445" s="46"/>
      <c r="I445" s="53"/>
      <c r="J445" s="53"/>
      <c r="K445" s="192"/>
      <c r="L445" s="192"/>
      <c r="M445" s="192"/>
      <c r="N445" s="192"/>
      <c r="O445" s="192"/>
      <c r="P445" s="192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  <c r="AY445" s="40"/>
      <c r="AZ445" s="40"/>
      <c r="BA445" s="40"/>
      <c r="BB445" s="40"/>
      <c r="BC445" s="40"/>
      <c r="BD445" s="40"/>
      <c r="BE445" s="40"/>
      <c r="BF445" s="40"/>
      <c r="BG445" s="40"/>
      <c r="BH445" s="40"/>
      <c r="BI445" s="40"/>
      <c r="BJ445" s="40"/>
      <c r="BK445" s="40"/>
      <c r="BL445" s="40"/>
      <c r="BM445" s="40"/>
      <c r="BN445" s="40"/>
      <c r="BO445" s="40"/>
      <c r="BP445" s="40"/>
      <c r="BQ445" s="40"/>
      <c r="BR445" s="40"/>
      <c r="BS445" s="40"/>
      <c r="BT445" s="40"/>
      <c r="BU445" s="40"/>
      <c r="BV445" s="40"/>
      <c r="BW445" s="40"/>
      <c r="BX445" s="40"/>
      <c r="BY445" s="40"/>
      <c r="BZ445" s="40"/>
      <c r="CA445" s="40"/>
      <c r="CB445" s="40"/>
      <c r="CC445" s="40"/>
      <c r="CD445" s="40"/>
      <c r="CE445" s="40"/>
      <c r="CF445" s="40"/>
      <c r="CG445" s="40"/>
      <c r="CH445" s="40"/>
      <c r="CI445" s="40"/>
      <c r="CJ445" s="40"/>
      <c r="CK445" s="40"/>
      <c r="CL445" s="40"/>
      <c r="CM445" s="40"/>
      <c r="CN445" s="40"/>
      <c r="CO445" s="40"/>
      <c r="CP445" s="40"/>
      <c r="CQ445" s="40"/>
      <c r="CR445" s="40"/>
      <c r="CS445" s="40"/>
    </row>
    <row r="446" spans="1:97">
      <c r="A446" s="397"/>
      <c r="B446" s="397"/>
      <c r="C446" s="397"/>
      <c r="D446" s="397"/>
      <c r="E446" s="397"/>
      <c r="F446" s="397"/>
      <c r="G446" s="180"/>
      <c r="H446" s="46"/>
      <c r="I446" s="53"/>
      <c r="J446" s="53"/>
      <c r="K446" s="192"/>
      <c r="L446" s="192"/>
      <c r="M446" s="192"/>
      <c r="N446" s="192"/>
      <c r="O446" s="192"/>
      <c r="P446" s="192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40"/>
      <c r="AY446" s="40"/>
      <c r="AZ446" s="40"/>
      <c r="BA446" s="40"/>
      <c r="BB446" s="40"/>
      <c r="BC446" s="40"/>
      <c r="BD446" s="40"/>
      <c r="BE446" s="40"/>
      <c r="BF446" s="40"/>
      <c r="BG446" s="40"/>
      <c r="BH446" s="40"/>
      <c r="BI446" s="40"/>
      <c r="BJ446" s="40"/>
      <c r="BK446" s="40"/>
      <c r="BL446" s="40"/>
      <c r="BM446" s="40"/>
      <c r="BN446" s="40"/>
      <c r="BO446" s="40"/>
      <c r="BP446" s="40"/>
      <c r="BQ446" s="40"/>
      <c r="BR446" s="40"/>
      <c r="BS446" s="40"/>
      <c r="BT446" s="40"/>
      <c r="BU446" s="40"/>
      <c r="BV446" s="40"/>
      <c r="BW446" s="40"/>
      <c r="BX446" s="40"/>
      <c r="BY446" s="40"/>
      <c r="BZ446" s="40"/>
      <c r="CA446" s="40"/>
      <c r="CB446" s="40"/>
      <c r="CC446" s="40"/>
      <c r="CD446" s="40"/>
      <c r="CE446" s="40"/>
      <c r="CF446" s="40"/>
      <c r="CG446" s="40"/>
      <c r="CH446" s="40"/>
      <c r="CI446" s="40"/>
      <c r="CJ446" s="40"/>
      <c r="CK446" s="40"/>
      <c r="CL446" s="40"/>
      <c r="CM446" s="40"/>
      <c r="CN446" s="40"/>
      <c r="CO446" s="40"/>
      <c r="CP446" s="40"/>
      <c r="CQ446" s="40"/>
      <c r="CR446" s="40"/>
      <c r="CS446" s="40"/>
    </row>
    <row r="447" spans="1:97">
      <c r="A447" s="397"/>
      <c r="B447" s="397"/>
      <c r="C447" s="397"/>
      <c r="D447" s="397"/>
      <c r="E447" s="397"/>
      <c r="F447" s="397"/>
      <c r="G447" s="180"/>
      <c r="H447" s="46"/>
      <c r="I447" s="53"/>
      <c r="J447" s="53"/>
      <c r="K447" s="192"/>
      <c r="L447" s="192"/>
      <c r="M447" s="192"/>
      <c r="N447" s="192"/>
      <c r="O447" s="192"/>
      <c r="P447" s="192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40"/>
      <c r="AT447" s="40"/>
      <c r="AU447" s="40"/>
      <c r="AV447" s="40"/>
      <c r="AW447" s="40"/>
      <c r="AX447" s="40"/>
      <c r="AY447" s="40"/>
      <c r="AZ447" s="40"/>
      <c r="BA447" s="40"/>
      <c r="BB447" s="40"/>
      <c r="BC447" s="40"/>
      <c r="BD447" s="40"/>
      <c r="BE447" s="40"/>
      <c r="BF447" s="40"/>
      <c r="BG447" s="40"/>
      <c r="BH447" s="40"/>
      <c r="BI447" s="40"/>
      <c r="BJ447" s="40"/>
      <c r="BK447" s="40"/>
      <c r="BL447" s="40"/>
      <c r="BM447" s="40"/>
      <c r="BN447" s="40"/>
      <c r="BO447" s="40"/>
      <c r="BP447" s="40"/>
      <c r="BQ447" s="40"/>
      <c r="BR447" s="40"/>
      <c r="BS447" s="40"/>
      <c r="BT447" s="40"/>
      <c r="BU447" s="40"/>
      <c r="BV447" s="40"/>
      <c r="BW447" s="40"/>
      <c r="BX447" s="40"/>
      <c r="BY447" s="40"/>
      <c r="BZ447" s="40"/>
      <c r="CA447" s="40"/>
      <c r="CB447" s="40"/>
      <c r="CC447" s="40"/>
      <c r="CD447" s="40"/>
      <c r="CE447" s="40"/>
      <c r="CF447" s="40"/>
      <c r="CG447" s="40"/>
      <c r="CH447" s="40"/>
      <c r="CI447" s="40"/>
      <c r="CJ447" s="40"/>
      <c r="CK447" s="40"/>
      <c r="CL447" s="40"/>
      <c r="CM447" s="40"/>
      <c r="CN447" s="40"/>
      <c r="CO447" s="40"/>
      <c r="CP447" s="40"/>
      <c r="CQ447" s="40"/>
      <c r="CR447" s="40"/>
      <c r="CS447" s="40"/>
    </row>
    <row r="448" spans="1:97">
      <c r="A448" s="397"/>
      <c r="B448" s="397"/>
      <c r="C448" s="397"/>
      <c r="D448" s="397"/>
      <c r="E448" s="397"/>
      <c r="F448" s="397"/>
      <c r="G448" s="180"/>
      <c r="H448" s="46"/>
      <c r="I448" s="53"/>
      <c r="J448" s="53"/>
      <c r="K448" s="192"/>
      <c r="L448" s="192"/>
      <c r="M448" s="192"/>
      <c r="N448" s="192"/>
      <c r="O448" s="192"/>
      <c r="P448" s="192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40"/>
      <c r="AT448" s="40"/>
      <c r="AU448" s="40"/>
      <c r="AV448" s="40"/>
      <c r="AW448" s="40"/>
      <c r="AX448" s="40"/>
      <c r="AY448" s="40"/>
      <c r="AZ448" s="40"/>
      <c r="BA448" s="40"/>
      <c r="BB448" s="40"/>
      <c r="BC448" s="40"/>
      <c r="BD448" s="40"/>
      <c r="BE448" s="40"/>
      <c r="BF448" s="40"/>
      <c r="BG448" s="40"/>
      <c r="BH448" s="40"/>
      <c r="BI448" s="40"/>
      <c r="BJ448" s="40"/>
      <c r="BK448" s="40"/>
      <c r="BL448" s="40"/>
      <c r="BM448" s="40"/>
      <c r="BN448" s="40"/>
      <c r="BO448" s="40"/>
      <c r="BP448" s="40"/>
      <c r="BQ448" s="40"/>
      <c r="BR448" s="40"/>
      <c r="BS448" s="40"/>
      <c r="BT448" s="40"/>
      <c r="BU448" s="40"/>
      <c r="BV448" s="40"/>
      <c r="BW448" s="40"/>
      <c r="BX448" s="40"/>
      <c r="BY448" s="40"/>
      <c r="BZ448" s="40"/>
      <c r="CA448" s="40"/>
      <c r="CB448" s="40"/>
      <c r="CC448" s="40"/>
      <c r="CD448" s="40"/>
      <c r="CE448" s="40"/>
      <c r="CF448" s="40"/>
      <c r="CG448" s="40"/>
      <c r="CH448" s="40"/>
      <c r="CI448" s="40"/>
      <c r="CJ448" s="40"/>
      <c r="CK448" s="40"/>
      <c r="CL448" s="40"/>
      <c r="CM448" s="40"/>
      <c r="CN448" s="40"/>
      <c r="CO448" s="40"/>
      <c r="CP448" s="40"/>
      <c r="CQ448" s="40"/>
      <c r="CR448" s="40"/>
      <c r="CS448" s="40"/>
    </row>
    <row r="449" spans="1:97">
      <c r="A449" s="397"/>
      <c r="B449" s="397"/>
      <c r="C449" s="397"/>
      <c r="D449" s="397"/>
      <c r="E449" s="397"/>
      <c r="F449" s="397"/>
      <c r="G449" s="180"/>
      <c r="H449" s="46"/>
      <c r="I449" s="53"/>
      <c r="J449" s="53"/>
      <c r="K449" s="192"/>
      <c r="L449" s="192"/>
      <c r="M449" s="192"/>
      <c r="N449" s="192"/>
      <c r="O449" s="192"/>
      <c r="P449" s="192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40"/>
      <c r="AX449" s="40"/>
      <c r="AY449" s="40"/>
      <c r="AZ449" s="40"/>
      <c r="BA449" s="40"/>
      <c r="BB449" s="40"/>
      <c r="BC449" s="40"/>
      <c r="BD449" s="40"/>
      <c r="BE449" s="40"/>
      <c r="BF449" s="40"/>
      <c r="BG449" s="40"/>
      <c r="BH449" s="40"/>
      <c r="BI449" s="40"/>
      <c r="BJ449" s="40"/>
      <c r="BK449" s="40"/>
      <c r="BL449" s="40"/>
      <c r="BM449" s="40"/>
      <c r="BN449" s="40"/>
      <c r="BO449" s="40"/>
      <c r="BP449" s="40"/>
      <c r="BQ449" s="40"/>
      <c r="BR449" s="40"/>
      <c r="BS449" s="40"/>
      <c r="BT449" s="40"/>
      <c r="BU449" s="40"/>
      <c r="BV449" s="40"/>
      <c r="BW449" s="40"/>
      <c r="BX449" s="40"/>
      <c r="BY449" s="40"/>
      <c r="BZ449" s="40"/>
      <c r="CA449" s="40"/>
      <c r="CB449" s="40"/>
      <c r="CC449" s="40"/>
      <c r="CD449" s="40"/>
      <c r="CE449" s="40"/>
      <c r="CF449" s="40"/>
      <c r="CG449" s="40"/>
      <c r="CH449" s="40"/>
      <c r="CI449" s="40"/>
      <c r="CJ449" s="40"/>
      <c r="CK449" s="40"/>
      <c r="CL449" s="40"/>
      <c r="CM449" s="40"/>
      <c r="CN449" s="40"/>
      <c r="CO449" s="40"/>
      <c r="CP449" s="40"/>
      <c r="CQ449" s="40"/>
      <c r="CR449" s="40"/>
      <c r="CS449" s="40"/>
    </row>
    <row r="450" spans="1:97">
      <c r="A450" s="397"/>
      <c r="B450" s="397"/>
      <c r="C450" s="397"/>
      <c r="D450" s="397"/>
      <c r="E450" s="397"/>
      <c r="F450" s="397"/>
      <c r="G450" s="180"/>
      <c r="H450" s="46"/>
      <c r="I450" s="53"/>
      <c r="J450" s="53"/>
      <c r="K450" s="192"/>
      <c r="L450" s="192"/>
      <c r="M450" s="192"/>
      <c r="N450" s="192"/>
      <c r="O450" s="192"/>
      <c r="P450" s="192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40"/>
      <c r="AT450" s="40"/>
      <c r="AU450" s="40"/>
      <c r="AV450" s="40"/>
      <c r="AW450" s="40"/>
      <c r="AX450" s="40"/>
      <c r="AY450" s="40"/>
      <c r="AZ450" s="40"/>
      <c r="BA450" s="40"/>
      <c r="BB450" s="40"/>
      <c r="BC450" s="40"/>
      <c r="BD450" s="40"/>
      <c r="BE450" s="40"/>
      <c r="BF450" s="40"/>
      <c r="BG450" s="40"/>
      <c r="BH450" s="40"/>
      <c r="BI450" s="40"/>
      <c r="BJ450" s="40"/>
      <c r="BK450" s="40"/>
      <c r="BL450" s="40"/>
      <c r="BM450" s="40"/>
      <c r="BN450" s="40"/>
      <c r="BO450" s="40"/>
      <c r="BP450" s="40"/>
      <c r="BQ450" s="40"/>
      <c r="BR450" s="40"/>
      <c r="BS450" s="40"/>
      <c r="BT450" s="40"/>
      <c r="BU450" s="40"/>
      <c r="BV450" s="40"/>
      <c r="BW450" s="40"/>
      <c r="BX450" s="40"/>
      <c r="BY450" s="40"/>
      <c r="BZ450" s="40"/>
      <c r="CA450" s="40"/>
      <c r="CB450" s="40"/>
      <c r="CC450" s="40"/>
      <c r="CD450" s="40"/>
      <c r="CE450" s="40"/>
      <c r="CF450" s="40"/>
      <c r="CG450" s="40"/>
      <c r="CH450" s="40"/>
      <c r="CI450" s="40"/>
      <c r="CJ450" s="40"/>
      <c r="CK450" s="40"/>
      <c r="CL450" s="40"/>
      <c r="CM450" s="40"/>
      <c r="CN450" s="40"/>
      <c r="CO450" s="40"/>
      <c r="CP450" s="40"/>
      <c r="CQ450" s="40"/>
      <c r="CR450" s="40"/>
      <c r="CS450" s="40"/>
    </row>
    <row r="451" spans="1:97">
      <c r="A451" s="397"/>
      <c r="B451" s="397"/>
      <c r="C451" s="397"/>
      <c r="D451" s="397"/>
      <c r="E451" s="397"/>
      <c r="F451" s="397"/>
      <c r="G451" s="180"/>
      <c r="H451" s="46"/>
      <c r="I451" s="53"/>
      <c r="J451" s="53"/>
      <c r="K451" s="192"/>
      <c r="L451" s="192"/>
      <c r="M451" s="192"/>
      <c r="N451" s="192"/>
      <c r="O451" s="192"/>
      <c r="P451" s="192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40"/>
      <c r="AT451" s="40"/>
      <c r="AU451" s="40"/>
      <c r="AV451" s="40"/>
      <c r="AW451" s="40"/>
      <c r="AX451" s="40"/>
      <c r="AY451" s="40"/>
      <c r="AZ451" s="40"/>
      <c r="BA451" s="40"/>
      <c r="BB451" s="40"/>
      <c r="BC451" s="40"/>
      <c r="BD451" s="40"/>
      <c r="BE451" s="40"/>
      <c r="BF451" s="40"/>
      <c r="BG451" s="40"/>
      <c r="BH451" s="40"/>
      <c r="BI451" s="40"/>
      <c r="BJ451" s="40"/>
      <c r="BK451" s="40"/>
      <c r="BL451" s="40"/>
      <c r="BM451" s="40"/>
      <c r="BN451" s="40"/>
      <c r="BO451" s="40"/>
      <c r="BP451" s="40"/>
      <c r="BQ451" s="40"/>
      <c r="BR451" s="40"/>
      <c r="BS451" s="40"/>
      <c r="BT451" s="40"/>
      <c r="BU451" s="40"/>
      <c r="BV451" s="40"/>
      <c r="BW451" s="40"/>
      <c r="BX451" s="40"/>
      <c r="BY451" s="40"/>
      <c r="BZ451" s="40"/>
      <c r="CA451" s="40"/>
      <c r="CB451" s="40"/>
      <c r="CC451" s="40"/>
      <c r="CD451" s="40"/>
      <c r="CE451" s="40"/>
      <c r="CF451" s="40"/>
      <c r="CG451" s="40"/>
      <c r="CH451" s="40"/>
      <c r="CI451" s="40"/>
      <c r="CJ451" s="40"/>
      <c r="CK451" s="40"/>
      <c r="CL451" s="40"/>
      <c r="CM451" s="40"/>
      <c r="CN451" s="40"/>
      <c r="CO451" s="40"/>
      <c r="CP451" s="40"/>
      <c r="CQ451" s="40"/>
      <c r="CR451" s="40"/>
      <c r="CS451" s="40"/>
    </row>
    <row r="452" spans="1:97">
      <c r="A452" s="397"/>
      <c r="B452" s="397"/>
      <c r="C452" s="397"/>
      <c r="D452" s="397"/>
      <c r="E452" s="397"/>
      <c r="F452" s="397"/>
      <c r="G452" s="180"/>
      <c r="H452" s="46"/>
      <c r="I452" s="53"/>
      <c r="J452" s="53"/>
      <c r="K452" s="192"/>
      <c r="L452" s="192"/>
      <c r="M452" s="192"/>
      <c r="N452" s="192"/>
      <c r="O452" s="192"/>
      <c r="P452" s="192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40"/>
      <c r="AX452" s="40"/>
      <c r="AY452" s="40"/>
      <c r="AZ452" s="40"/>
      <c r="BA452" s="40"/>
      <c r="BB452" s="40"/>
      <c r="BC452" s="40"/>
      <c r="BD452" s="40"/>
      <c r="BE452" s="40"/>
      <c r="BF452" s="40"/>
      <c r="BG452" s="40"/>
      <c r="BH452" s="40"/>
      <c r="BI452" s="40"/>
      <c r="BJ452" s="40"/>
      <c r="BK452" s="40"/>
      <c r="BL452" s="40"/>
      <c r="BM452" s="40"/>
      <c r="BN452" s="40"/>
      <c r="BO452" s="40"/>
      <c r="BP452" s="40"/>
      <c r="BQ452" s="40"/>
      <c r="BR452" s="40"/>
      <c r="BS452" s="40"/>
      <c r="BT452" s="40"/>
      <c r="BU452" s="40"/>
      <c r="BV452" s="40"/>
      <c r="BW452" s="40"/>
      <c r="BX452" s="40"/>
      <c r="BY452" s="40"/>
      <c r="BZ452" s="40"/>
      <c r="CA452" s="40"/>
      <c r="CB452" s="40"/>
      <c r="CC452" s="40"/>
      <c r="CD452" s="40"/>
      <c r="CE452" s="40"/>
      <c r="CF452" s="40"/>
      <c r="CG452" s="40"/>
      <c r="CH452" s="40"/>
      <c r="CI452" s="40"/>
      <c r="CJ452" s="40"/>
      <c r="CK452" s="40"/>
      <c r="CL452" s="40"/>
      <c r="CM452" s="40"/>
      <c r="CN452" s="40"/>
      <c r="CO452" s="40"/>
      <c r="CP452" s="40"/>
      <c r="CQ452" s="40"/>
      <c r="CR452" s="40"/>
      <c r="CS452" s="40"/>
    </row>
    <row r="453" spans="1:97">
      <c r="A453" s="397"/>
      <c r="B453" s="397"/>
      <c r="C453" s="397"/>
      <c r="D453" s="397"/>
      <c r="E453" s="397"/>
      <c r="F453" s="397"/>
      <c r="G453" s="180"/>
      <c r="H453" s="46"/>
      <c r="I453" s="53"/>
      <c r="J453" s="53"/>
      <c r="K453" s="192"/>
      <c r="L453" s="192"/>
      <c r="M453" s="192"/>
      <c r="N453" s="192"/>
      <c r="O453" s="192"/>
      <c r="P453" s="192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40"/>
      <c r="AT453" s="40"/>
      <c r="AU453" s="40"/>
      <c r="AV453" s="40"/>
      <c r="AW453" s="40"/>
      <c r="AX453" s="40"/>
      <c r="AY453" s="40"/>
      <c r="AZ453" s="40"/>
      <c r="BA453" s="40"/>
      <c r="BB453" s="40"/>
      <c r="BC453" s="40"/>
      <c r="BD453" s="40"/>
      <c r="BE453" s="40"/>
      <c r="BF453" s="40"/>
      <c r="BG453" s="40"/>
      <c r="BH453" s="40"/>
      <c r="BI453" s="40"/>
      <c r="BJ453" s="40"/>
      <c r="BK453" s="40"/>
      <c r="BL453" s="40"/>
      <c r="BM453" s="40"/>
      <c r="BN453" s="40"/>
      <c r="BO453" s="40"/>
      <c r="BP453" s="40"/>
      <c r="BQ453" s="40"/>
      <c r="BR453" s="40"/>
      <c r="BS453" s="40"/>
      <c r="BT453" s="40"/>
      <c r="BU453" s="40"/>
      <c r="BV453" s="40"/>
      <c r="BW453" s="40"/>
      <c r="BX453" s="40"/>
      <c r="BY453" s="40"/>
      <c r="BZ453" s="40"/>
      <c r="CA453" s="40"/>
      <c r="CB453" s="40"/>
      <c r="CC453" s="40"/>
      <c r="CD453" s="40"/>
      <c r="CE453" s="40"/>
      <c r="CF453" s="40"/>
      <c r="CG453" s="40"/>
      <c r="CH453" s="40"/>
      <c r="CI453" s="40"/>
      <c r="CJ453" s="40"/>
      <c r="CK453" s="40"/>
      <c r="CL453" s="40"/>
      <c r="CM453" s="40"/>
      <c r="CN453" s="40"/>
      <c r="CO453" s="40"/>
      <c r="CP453" s="40"/>
      <c r="CQ453" s="40"/>
      <c r="CR453" s="40"/>
      <c r="CS453" s="40"/>
    </row>
    <row r="454" spans="1:97">
      <c r="A454" s="397"/>
      <c r="B454" s="397"/>
      <c r="C454" s="397"/>
      <c r="D454" s="397"/>
      <c r="E454" s="397"/>
      <c r="F454" s="397"/>
      <c r="G454" s="180"/>
      <c r="H454" s="46"/>
      <c r="I454" s="53"/>
      <c r="J454" s="53"/>
      <c r="K454" s="192"/>
      <c r="L454" s="192"/>
      <c r="M454" s="192"/>
      <c r="N454" s="192"/>
      <c r="O454" s="192"/>
      <c r="P454" s="192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/>
      <c r="AV454" s="40"/>
      <c r="AW454" s="40"/>
      <c r="AX454" s="40"/>
      <c r="AY454" s="40"/>
      <c r="AZ454" s="40"/>
      <c r="BA454" s="40"/>
      <c r="BB454" s="40"/>
      <c r="BC454" s="40"/>
      <c r="BD454" s="40"/>
      <c r="BE454" s="40"/>
      <c r="BF454" s="40"/>
      <c r="BG454" s="40"/>
      <c r="BH454" s="40"/>
      <c r="BI454" s="40"/>
      <c r="BJ454" s="40"/>
      <c r="BK454" s="40"/>
      <c r="BL454" s="40"/>
      <c r="BM454" s="40"/>
      <c r="BN454" s="40"/>
      <c r="BO454" s="40"/>
      <c r="BP454" s="40"/>
      <c r="BQ454" s="40"/>
      <c r="BR454" s="40"/>
      <c r="BS454" s="40"/>
      <c r="BT454" s="40"/>
      <c r="BU454" s="40"/>
      <c r="BV454" s="40"/>
      <c r="BW454" s="40"/>
      <c r="BX454" s="40"/>
      <c r="BY454" s="40"/>
      <c r="BZ454" s="40"/>
      <c r="CA454" s="40"/>
      <c r="CB454" s="40"/>
      <c r="CC454" s="40"/>
      <c r="CD454" s="40"/>
      <c r="CE454" s="40"/>
      <c r="CF454" s="40"/>
      <c r="CG454" s="40"/>
      <c r="CH454" s="40"/>
      <c r="CI454" s="40"/>
      <c r="CJ454" s="40"/>
      <c r="CK454" s="40"/>
      <c r="CL454" s="40"/>
      <c r="CM454" s="40"/>
      <c r="CN454" s="40"/>
      <c r="CO454" s="40"/>
      <c r="CP454" s="40"/>
      <c r="CQ454" s="40"/>
      <c r="CR454" s="40"/>
      <c r="CS454" s="40"/>
    </row>
    <row r="455" spans="1:97">
      <c r="A455" s="397"/>
      <c r="B455" s="397"/>
      <c r="C455" s="397"/>
      <c r="D455" s="397"/>
      <c r="E455" s="397"/>
      <c r="F455" s="397"/>
      <c r="G455" s="180"/>
      <c r="H455" s="46"/>
      <c r="I455" s="53"/>
      <c r="J455" s="53"/>
      <c r="K455" s="192"/>
      <c r="L455" s="192"/>
      <c r="M455" s="192"/>
      <c r="N455" s="192"/>
      <c r="O455" s="192"/>
      <c r="P455" s="192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40"/>
      <c r="AT455" s="40"/>
      <c r="AU455" s="40"/>
      <c r="AV455" s="40"/>
      <c r="AW455" s="40"/>
      <c r="AX455" s="40"/>
      <c r="AY455" s="40"/>
      <c r="AZ455" s="40"/>
      <c r="BA455" s="40"/>
      <c r="BB455" s="40"/>
      <c r="BC455" s="40"/>
      <c r="BD455" s="40"/>
      <c r="BE455" s="40"/>
      <c r="BF455" s="40"/>
      <c r="BG455" s="40"/>
      <c r="BH455" s="40"/>
      <c r="BI455" s="40"/>
      <c r="BJ455" s="40"/>
      <c r="BK455" s="40"/>
      <c r="BL455" s="40"/>
      <c r="BM455" s="40"/>
      <c r="BN455" s="40"/>
      <c r="BO455" s="40"/>
      <c r="BP455" s="40"/>
      <c r="BQ455" s="40"/>
      <c r="BR455" s="40"/>
      <c r="BS455" s="40"/>
      <c r="BT455" s="40"/>
      <c r="BU455" s="40"/>
      <c r="BV455" s="40"/>
      <c r="BW455" s="40"/>
      <c r="BX455" s="40"/>
      <c r="BY455" s="40"/>
      <c r="BZ455" s="40"/>
      <c r="CA455" s="40"/>
      <c r="CB455" s="40"/>
      <c r="CC455" s="40"/>
      <c r="CD455" s="40"/>
      <c r="CE455" s="40"/>
      <c r="CF455" s="40"/>
      <c r="CG455" s="40"/>
      <c r="CH455" s="40"/>
      <c r="CI455" s="40"/>
      <c r="CJ455" s="40"/>
      <c r="CK455" s="40"/>
      <c r="CL455" s="40"/>
      <c r="CM455" s="40"/>
      <c r="CN455" s="40"/>
      <c r="CO455" s="40"/>
      <c r="CP455" s="40"/>
      <c r="CQ455" s="40"/>
      <c r="CR455" s="40"/>
      <c r="CS455" s="40"/>
    </row>
    <row r="456" spans="1:97">
      <c r="A456" s="397"/>
      <c r="B456" s="397"/>
      <c r="C456" s="397"/>
      <c r="D456" s="397"/>
      <c r="E456" s="397"/>
      <c r="F456" s="397"/>
      <c r="G456" s="180"/>
      <c r="H456" s="46"/>
      <c r="I456" s="53"/>
      <c r="J456" s="53"/>
      <c r="K456" s="192"/>
      <c r="L456" s="192"/>
      <c r="M456" s="192"/>
      <c r="N456" s="192"/>
      <c r="O456" s="192"/>
      <c r="P456" s="192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40"/>
      <c r="AT456" s="40"/>
      <c r="AU456" s="40"/>
      <c r="AV456" s="40"/>
      <c r="AW456" s="40"/>
      <c r="AX456" s="40"/>
      <c r="AY456" s="40"/>
      <c r="AZ456" s="40"/>
      <c r="BA456" s="40"/>
      <c r="BB456" s="40"/>
      <c r="BC456" s="40"/>
      <c r="BD456" s="40"/>
      <c r="BE456" s="40"/>
      <c r="BF456" s="40"/>
      <c r="BG456" s="40"/>
      <c r="BH456" s="40"/>
      <c r="BI456" s="40"/>
      <c r="BJ456" s="40"/>
      <c r="BK456" s="40"/>
      <c r="BL456" s="40"/>
      <c r="BM456" s="40"/>
      <c r="BN456" s="40"/>
      <c r="BO456" s="40"/>
      <c r="BP456" s="40"/>
      <c r="BQ456" s="40"/>
      <c r="BR456" s="40"/>
      <c r="BS456" s="40"/>
      <c r="BT456" s="40"/>
      <c r="BU456" s="40"/>
      <c r="BV456" s="40"/>
      <c r="BW456" s="40"/>
      <c r="BX456" s="40"/>
      <c r="BY456" s="40"/>
      <c r="BZ456" s="40"/>
      <c r="CA456" s="40"/>
      <c r="CB456" s="40"/>
      <c r="CC456" s="40"/>
      <c r="CD456" s="40"/>
      <c r="CE456" s="40"/>
      <c r="CF456" s="40"/>
      <c r="CG456" s="40"/>
      <c r="CH456" s="40"/>
      <c r="CI456" s="40"/>
      <c r="CJ456" s="40"/>
      <c r="CK456" s="40"/>
      <c r="CL456" s="40"/>
      <c r="CM456" s="40"/>
      <c r="CN456" s="40"/>
      <c r="CO456" s="40"/>
      <c r="CP456" s="40"/>
      <c r="CQ456" s="40"/>
      <c r="CR456" s="40"/>
      <c r="CS456" s="40"/>
    </row>
    <row r="457" spans="1:97">
      <c r="A457" s="397"/>
      <c r="B457" s="397"/>
      <c r="C457" s="397"/>
      <c r="D457" s="397"/>
      <c r="E457" s="397"/>
      <c r="F457" s="397"/>
      <c r="G457" s="180"/>
      <c r="H457" s="46"/>
      <c r="I457" s="53"/>
      <c r="J457" s="53"/>
      <c r="K457" s="192"/>
      <c r="L457" s="192"/>
      <c r="M457" s="192"/>
      <c r="N457" s="192"/>
      <c r="O457" s="192"/>
      <c r="P457" s="192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40"/>
      <c r="AT457" s="40"/>
      <c r="AU457" s="40"/>
      <c r="AV457" s="40"/>
      <c r="AW457" s="40"/>
      <c r="AX457" s="40"/>
      <c r="AY457" s="40"/>
      <c r="AZ457" s="40"/>
      <c r="BA457" s="40"/>
      <c r="BB457" s="40"/>
      <c r="BC457" s="40"/>
      <c r="BD457" s="40"/>
      <c r="BE457" s="40"/>
      <c r="BF457" s="40"/>
      <c r="BG457" s="40"/>
      <c r="BH457" s="40"/>
      <c r="BI457" s="40"/>
      <c r="BJ457" s="40"/>
      <c r="BK457" s="40"/>
      <c r="BL457" s="40"/>
      <c r="BM457" s="40"/>
      <c r="BN457" s="40"/>
      <c r="BO457" s="40"/>
      <c r="BP457" s="40"/>
      <c r="BQ457" s="40"/>
      <c r="BR457" s="40"/>
      <c r="BS457" s="40"/>
      <c r="BT457" s="40"/>
      <c r="BU457" s="40"/>
      <c r="BV457" s="40"/>
      <c r="BW457" s="40"/>
      <c r="BX457" s="40"/>
      <c r="BY457" s="40"/>
      <c r="BZ457" s="40"/>
      <c r="CA457" s="40"/>
      <c r="CB457" s="40"/>
      <c r="CC457" s="40"/>
      <c r="CD457" s="40"/>
      <c r="CE457" s="40"/>
      <c r="CF457" s="40"/>
      <c r="CG457" s="40"/>
      <c r="CH457" s="40"/>
      <c r="CI457" s="40"/>
      <c r="CJ457" s="40"/>
      <c r="CK457" s="40"/>
      <c r="CL457" s="40"/>
      <c r="CM457" s="40"/>
      <c r="CN457" s="40"/>
      <c r="CO457" s="40"/>
      <c r="CP457" s="40"/>
      <c r="CQ457" s="40"/>
      <c r="CR457" s="40"/>
      <c r="CS457" s="40"/>
    </row>
    <row r="458" spans="1:97">
      <c r="A458" s="397"/>
      <c r="B458" s="397"/>
      <c r="C458" s="397"/>
      <c r="D458" s="397"/>
      <c r="E458" s="397"/>
      <c r="F458" s="397"/>
      <c r="G458" s="180"/>
      <c r="H458" s="46"/>
      <c r="I458" s="53"/>
      <c r="J458" s="53"/>
      <c r="K458" s="192"/>
      <c r="L458" s="192"/>
      <c r="M458" s="192"/>
      <c r="N458" s="192"/>
      <c r="O458" s="192"/>
      <c r="P458" s="192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40"/>
      <c r="AT458" s="40"/>
      <c r="AU458" s="40"/>
      <c r="AV458" s="40"/>
      <c r="AW458" s="40"/>
      <c r="AX458" s="40"/>
      <c r="AY458" s="40"/>
      <c r="AZ458" s="40"/>
      <c r="BA458" s="40"/>
      <c r="BB458" s="40"/>
      <c r="BC458" s="40"/>
      <c r="BD458" s="40"/>
      <c r="BE458" s="40"/>
      <c r="BF458" s="40"/>
      <c r="BG458" s="40"/>
      <c r="BH458" s="40"/>
      <c r="BI458" s="40"/>
      <c r="BJ458" s="40"/>
      <c r="BK458" s="40"/>
      <c r="BL458" s="40"/>
      <c r="BM458" s="40"/>
      <c r="BN458" s="40"/>
      <c r="BO458" s="40"/>
      <c r="BP458" s="40"/>
      <c r="BQ458" s="40"/>
      <c r="BR458" s="40"/>
      <c r="BS458" s="40"/>
      <c r="BT458" s="40"/>
      <c r="BU458" s="40"/>
      <c r="BV458" s="40"/>
      <c r="BW458" s="40"/>
      <c r="BX458" s="40"/>
      <c r="BY458" s="40"/>
      <c r="BZ458" s="40"/>
      <c r="CA458" s="40"/>
      <c r="CB458" s="40"/>
      <c r="CC458" s="40"/>
      <c r="CD458" s="40"/>
      <c r="CE458" s="40"/>
      <c r="CF458" s="40"/>
      <c r="CG458" s="40"/>
      <c r="CH458" s="40"/>
      <c r="CI458" s="40"/>
      <c r="CJ458" s="40"/>
      <c r="CK458" s="40"/>
      <c r="CL458" s="40"/>
      <c r="CM458" s="40"/>
      <c r="CN458" s="40"/>
      <c r="CO458" s="40"/>
      <c r="CP458" s="40"/>
      <c r="CQ458" s="40"/>
      <c r="CR458" s="40"/>
      <c r="CS458" s="40"/>
    </row>
    <row r="459" spans="1:97">
      <c r="A459" s="397"/>
      <c r="B459" s="397"/>
      <c r="C459" s="397"/>
      <c r="D459" s="397"/>
      <c r="E459" s="397"/>
      <c r="F459" s="397"/>
      <c r="G459" s="180"/>
      <c r="H459" s="46"/>
      <c r="I459" s="53"/>
      <c r="J459" s="53"/>
      <c r="K459" s="192"/>
      <c r="L459" s="192"/>
      <c r="M459" s="192"/>
      <c r="N459" s="192"/>
      <c r="O459" s="192"/>
      <c r="P459" s="192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40"/>
      <c r="AT459" s="40"/>
      <c r="AU459" s="40"/>
      <c r="AV459" s="40"/>
      <c r="AW459" s="40"/>
      <c r="AX459" s="40"/>
      <c r="AY459" s="40"/>
      <c r="AZ459" s="40"/>
      <c r="BA459" s="40"/>
      <c r="BB459" s="40"/>
      <c r="BC459" s="40"/>
      <c r="BD459" s="40"/>
      <c r="BE459" s="40"/>
      <c r="BF459" s="40"/>
      <c r="BG459" s="40"/>
      <c r="BH459" s="40"/>
      <c r="BI459" s="40"/>
      <c r="BJ459" s="40"/>
      <c r="BK459" s="40"/>
      <c r="BL459" s="40"/>
      <c r="BM459" s="40"/>
      <c r="BN459" s="40"/>
      <c r="BO459" s="40"/>
      <c r="BP459" s="40"/>
      <c r="BQ459" s="40"/>
      <c r="BR459" s="40"/>
      <c r="BS459" s="40"/>
      <c r="BT459" s="40"/>
      <c r="BU459" s="40"/>
      <c r="BV459" s="40"/>
      <c r="BW459" s="40"/>
      <c r="BX459" s="40"/>
      <c r="BY459" s="40"/>
      <c r="BZ459" s="40"/>
      <c r="CA459" s="40"/>
      <c r="CB459" s="40"/>
      <c r="CC459" s="40"/>
      <c r="CD459" s="40"/>
      <c r="CE459" s="40"/>
      <c r="CF459" s="40"/>
      <c r="CG459" s="40"/>
      <c r="CH459" s="40"/>
      <c r="CI459" s="40"/>
      <c r="CJ459" s="40"/>
      <c r="CK459" s="40"/>
      <c r="CL459" s="40"/>
      <c r="CM459" s="40"/>
      <c r="CN459" s="40"/>
      <c r="CO459" s="40"/>
      <c r="CP459" s="40"/>
      <c r="CQ459" s="40"/>
      <c r="CR459" s="40"/>
      <c r="CS459" s="40"/>
    </row>
    <row r="460" spans="1:97">
      <c r="A460" s="397"/>
      <c r="B460" s="397"/>
      <c r="C460" s="397"/>
      <c r="D460" s="397"/>
      <c r="E460" s="397"/>
      <c r="F460" s="397"/>
      <c r="G460" s="180"/>
      <c r="H460" s="46"/>
      <c r="I460" s="53"/>
      <c r="J460" s="53"/>
      <c r="K460" s="192"/>
      <c r="L460" s="192"/>
      <c r="M460" s="192"/>
      <c r="N460" s="192"/>
      <c r="O460" s="192"/>
      <c r="P460" s="192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40"/>
      <c r="AT460" s="40"/>
      <c r="AU460" s="40"/>
      <c r="AV460" s="40"/>
      <c r="AW460" s="40"/>
      <c r="AX460" s="40"/>
      <c r="AY460" s="40"/>
      <c r="AZ460" s="40"/>
      <c r="BA460" s="40"/>
      <c r="BB460" s="40"/>
      <c r="BC460" s="40"/>
      <c r="BD460" s="40"/>
      <c r="BE460" s="40"/>
      <c r="BF460" s="40"/>
      <c r="BG460" s="40"/>
      <c r="BH460" s="40"/>
      <c r="BI460" s="40"/>
      <c r="BJ460" s="40"/>
      <c r="BK460" s="40"/>
      <c r="BL460" s="40"/>
      <c r="BM460" s="40"/>
      <c r="BN460" s="40"/>
      <c r="BO460" s="40"/>
      <c r="BP460" s="40"/>
      <c r="BQ460" s="40"/>
      <c r="BR460" s="40"/>
      <c r="BS460" s="40"/>
      <c r="BT460" s="40"/>
      <c r="BU460" s="40"/>
      <c r="BV460" s="40"/>
      <c r="BW460" s="40"/>
      <c r="BX460" s="40"/>
      <c r="BY460" s="40"/>
      <c r="BZ460" s="40"/>
      <c r="CA460" s="40"/>
      <c r="CB460" s="40"/>
      <c r="CC460" s="40"/>
      <c r="CD460" s="40"/>
      <c r="CE460" s="40"/>
      <c r="CF460" s="40"/>
      <c r="CG460" s="40"/>
      <c r="CH460" s="40"/>
      <c r="CI460" s="40"/>
      <c r="CJ460" s="40"/>
      <c r="CK460" s="40"/>
      <c r="CL460" s="40"/>
      <c r="CM460" s="40"/>
      <c r="CN460" s="40"/>
      <c r="CO460" s="40"/>
      <c r="CP460" s="40"/>
      <c r="CQ460" s="40"/>
      <c r="CR460" s="40"/>
      <c r="CS460" s="40"/>
    </row>
    <row r="461" spans="1:97">
      <c r="A461" s="397"/>
      <c r="B461" s="397"/>
      <c r="C461" s="397"/>
      <c r="D461" s="397"/>
      <c r="E461" s="397"/>
      <c r="F461" s="397"/>
      <c r="G461" s="180"/>
      <c r="H461" s="46"/>
      <c r="I461" s="53"/>
      <c r="J461" s="53"/>
      <c r="K461" s="192"/>
      <c r="L461" s="192"/>
      <c r="M461" s="192"/>
      <c r="N461" s="192"/>
      <c r="O461" s="192"/>
      <c r="P461" s="192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40"/>
      <c r="AT461" s="40"/>
      <c r="AU461" s="40"/>
      <c r="AV461" s="40"/>
      <c r="AW461" s="40"/>
      <c r="AX461" s="40"/>
      <c r="AY461" s="40"/>
      <c r="AZ461" s="40"/>
      <c r="BA461" s="40"/>
      <c r="BB461" s="40"/>
      <c r="BC461" s="40"/>
      <c r="BD461" s="40"/>
      <c r="BE461" s="40"/>
      <c r="BF461" s="40"/>
      <c r="BG461" s="40"/>
      <c r="BH461" s="40"/>
      <c r="BI461" s="40"/>
      <c r="BJ461" s="40"/>
      <c r="BK461" s="40"/>
      <c r="BL461" s="40"/>
      <c r="BM461" s="40"/>
      <c r="BN461" s="40"/>
      <c r="BO461" s="40"/>
      <c r="BP461" s="40"/>
      <c r="BQ461" s="40"/>
      <c r="BR461" s="40"/>
      <c r="BS461" s="40"/>
      <c r="BT461" s="40"/>
      <c r="BU461" s="40"/>
      <c r="BV461" s="40"/>
      <c r="BW461" s="40"/>
      <c r="BX461" s="40"/>
      <c r="BY461" s="40"/>
      <c r="BZ461" s="40"/>
      <c r="CA461" s="40"/>
      <c r="CB461" s="40"/>
      <c r="CC461" s="40"/>
      <c r="CD461" s="40"/>
      <c r="CE461" s="40"/>
      <c r="CF461" s="40"/>
      <c r="CG461" s="40"/>
      <c r="CH461" s="40"/>
      <c r="CI461" s="40"/>
      <c r="CJ461" s="40"/>
      <c r="CK461" s="40"/>
      <c r="CL461" s="40"/>
      <c r="CM461" s="40"/>
      <c r="CN461" s="40"/>
      <c r="CO461" s="40"/>
      <c r="CP461" s="40"/>
      <c r="CQ461" s="40"/>
      <c r="CR461" s="40"/>
      <c r="CS461" s="40"/>
    </row>
    <row r="462" spans="1:97">
      <c r="A462" s="397"/>
      <c r="B462" s="397"/>
      <c r="C462" s="397"/>
      <c r="D462" s="397"/>
      <c r="E462" s="397"/>
      <c r="F462" s="397"/>
      <c r="G462" s="180"/>
      <c r="H462" s="46"/>
      <c r="I462" s="53"/>
      <c r="J462" s="53"/>
      <c r="K462" s="192"/>
      <c r="L462" s="192"/>
      <c r="M462" s="192"/>
      <c r="N462" s="192"/>
      <c r="O462" s="192"/>
      <c r="P462" s="192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40"/>
      <c r="AS462" s="40"/>
      <c r="AT462" s="40"/>
      <c r="AU462" s="40"/>
      <c r="AV462" s="40"/>
      <c r="AW462" s="40"/>
      <c r="AX462" s="40"/>
      <c r="AY462" s="40"/>
      <c r="AZ462" s="40"/>
      <c r="BA462" s="40"/>
      <c r="BB462" s="40"/>
      <c r="BC462" s="40"/>
      <c r="BD462" s="40"/>
      <c r="BE462" s="40"/>
      <c r="BF462" s="40"/>
      <c r="BG462" s="40"/>
      <c r="BH462" s="40"/>
      <c r="BI462" s="40"/>
      <c r="BJ462" s="40"/>
      <c r="BK462" s="40"/>
      <c r="BL462" s="40"/>
      <c r="BM462" s="40"/>
      <c r="BN462" s="40"/>
      <c r="BO462" s="40"/>
      <c r="BP462" s="40"/>
      <c r="BQ462" s="40"/>
      <c r="BR462" s="40"/>
      <c r="BS462" s="40"/>
      <c r="BT462" s="40"/>
      <c r="BU462" s="40"/>
      <c r="BV462" s="40"/>
      <c r="BW462" s="40"/>
      <c r="BX462" s="40"/>
      <c r="BY462" s="40"/>
      <c r="BZ462" s="40"/>
      <c r="CA462" s="40"/>
      <c r="CB462" s="40"/>
      <c r="CC462" s="40"/>
      <c r="CD462" s="40"/>
      <c r="CE462" s="40"/>
      <c r="CF462" s="40"/>
      <c r="CG462" s="40"/>
      <c r="CH462" s="40"/>
      <c r="CI462" s="40"/>
      <c r="CJ462" s="40"/>
      <c r="CK462" s="40"/>
      <c r="CL462" s="40"/>
      <c r="CM462" s="40"/>
      <c r="CN462" s="40"/>
      <c r="CO462" s="40"/>
      <c r="CP462" s="40"/>
      <c r="CQ462" s="40"/>
      <c r="CR462" s="40"/>
      <c r="CS462" s="40"/>
    </row>
    <row r="463" spans="1:97">
      <c r="A463" s="397"/>
      <c r="B463" s="397"/>
      <c r="C463" s="397"/>
      <c r="D463" s="397"/>
      <c r="E463" s="397"/>
      <c r="F463" s="397"/>
      <c r="G463" s="180"/>
      <c r="H463" s="46"/>
      <c r="I463" s="53"/>
      <c r="J463" s="53"/>
      <c r="K463" s="192"/>
      <c r="L463" s="192"/>
      <c r="M463" s="192"/>
      <c r="N463" s="192"/>
      <c r="O463" s="192"/>
      <c r="P463" s="192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40"/>
      <c r="AR463" s="40"/>
      <c r="AS463" s="40"/>
      <c r="AT463" s="40"/>
      <c r="AU463" s="40"/>
      <c r="AV463" s="40"/>
      <c r="AW463" s="40"/>
      <c r="AX463" s="40"/>
      <c r="AY463" s="40"/>
      <c r="AZ463" s="40"/>
      <c r="BA463" s="40"/>
      <c r="BB463" s="40"/>
      <c r="BC463" s="40"/>
      <c r="BD463" s="40"/>
      <c r="BE463" s="40"/>
      <c r="BF463" s="40"/>
      <c r="BG463" s="40"/>
      <c r="BH463" s="40"/>
      <c r="BI463" s="40"/>
      <c r="BJ463" s="40"/>
      <c r="BK463" s="40"/>
      <c r="BL463" s="40"/>
      <c r="BM463" s="40"/>
      <c r="BN463" s="40"/>
      <c r="BO463" s="40"/>
      <c r="BP463" s="40"/>
      <c r="BQ463" s="40"/>
      <c r="BR463" s="40"/>
      <c r="BS463" s="40"/>
      <c r="BT463" s="40"/>
      <c r="BU463" s="40"/>
      <c r="BV463" s="40"/>
      <c r="BW463" s="40"/>
      <c r="BX463" s="40"/>
      <c r="BY463" s="40"/>
      <c r="BZ463" s="40"/>
      <c r="CA463" s="40"/>
      <c r="CB463" s="40"/>
      <c r="CC463" s="40"/>
      <c r="CD463" s="40"/>
      <c r="CE463" s="40"/>
      <c r="CF463" s="40"/>
      <c r="CG463" s="40"/>
      <c r="CH463" s="40"/>
      <c r="CI463" s="40"/>
      <c r="CJ463" s="40"/>
      <c r="CK463" s="40"/>
      <c r="CL463" s="40"/>
      <c r="CM463" s="40"/>
      <c r="CN463" s="40"/>
      <c r="CO463" s="40"/>
      <c r="CP463" s="40"/>
      <c r="CQ463" s="40"/>
      <c r="CR463" s="40"/>
      <c r="CS463" s="40"/>
    </row>
    <row r="464" spans="1:97">
      <c r="A464" s="397"/>
      <c r="B464" s="397"/>
      <c r="C464" s="397"/>
      <c r="D464" s="397"/>
      <c r="E464" s="397"/>
      <c r="F464" s="397"/>
      <c r="G464" s="180"/>
      <c r="H464" s="46"/>
      <c r="I464" s="53"/>
      <c r="J464" s="53"/>
      <c r="K464" s="192"/>
      <c r="L464" s="192"/>
      <c r="M464" s="192"/>
      <c r="N464" s="192"/>
      <c r="O464" s="192"/>
      <c r="P464" s="192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40"/>
      <c r="AR464" s="40"/>
      <c r="AS464" s="40"/>
      <c r="AT464" s="40"/>
      <c r="AU464" s="40"/>
      <c r="AV464" s="40"/>
      <c r="AW464" s="40"/>
      <c r="AX464" s="40"/>
      <c r="AY464" s="40"/>
      <c r="AZ464" s="40"/>
      <c r="BA464" s="40"/>
      <c r="BB464" s="40"/>
      <c r="BC464" s="40"/>
      <c r="BD464" s="40"/>
      <c r="BE464" s="40"/>
      <c r="BF464" s="40"/>
      <c r="BG464" s="40"/>
      <c r="BH464" s="40"/>
      <c r="BI464" s="40"/>
      <c r="BJ464" s="40"/>
      <c r="BK464" s="40"/>
      <c r="BL464" s="40"/>
      <c r="BM464" s="40"/>
      <c r="BN464" s="40"/>
      <c r="BO464" s="40"/>
      <c r="BP464" s="40"/>
      <c r="BQ464" s="40"/>
      <c r="BR464" s="40"/>
      <c r="BS464" s="40"/>
      <c r="BT464" s="40"/>
      <c r="BU464" s="40"/>
      <c r="BV464" s="40"/>
      <c r="BW464" s="40"/>
      <c r="BX464" s="40"/>
      <c r="BY464" s="40"/>
      <c r="BZ464" s="40"/>
      <c r="CA464" s="40"/>
      <c r="CB464" s="40"/>
      <c r="CC464" s="40"/>
      <c r="CD464" s="40"/>
      <c r="CE464" s="40"/>
      <c r="CF464" s="40"/>
      <c r="CG464" s="40"/>
      <c r="CH464" s="40"/>
      <c r="CI464" s="40"/>
      <c r="CJ464" s="40"/>
      <c r="CK464" s="40"/>
      <c r="CL464" s="40"/>
      <c r="CM464" s="40"/>
      <c r="CN464" s="40"/>
      <c r="CO464" s="40"/>
      <c r="CP464" s="40"/>
      <c r="CQ464" s="40"/>
      <c r="CR464" s="40"/>
      <c r="CS464" s="40"/>
    </row>
    <row r="465" spans="1:97">
      <c r="A465" s="397"/>
      <c r="B465" s="397"/>
      <c r="C465" s="397"/>
      <c r="D465" s="397"/>
      <c r="E465" s="397"/>
      <c r="F465" s="397"/>
      <c r="G465" s="180"/>
      <c r="H465" s="46"/>
      <c r="I465" s="53"/>
      <c r="J465" s="53"/>
      <c r="K465" s="192"/>
      <c r="L465" s="192"/>
      <c r="M465" s="192"/>
      <c r="N465" s="192"/>
      <c r="O465" s="192"/>
      <c r="P465" s="192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 s="40"/>
      <c r="AR465" s="40"/>
      <c r="AS465" s="40"/>
      <c r="AT465" s="40"/>
      <c r="AU465" s="40"/>
      <c r="AV465" s="40"/>
      <c r="AW465" s="40"/>
      <c r="AX465" s="40"/>
      <c r="AY465" s="40"/>
      <c r="AZ465" s="40"/>
      <c r="BA465" s="40"/>
      <c r="BB465" s="40"/>
      <c r="BC465" s="40"/>
      <c r="BD465" s="40"/>
      <c r="BE465" s="40"/>
      <c r="BF465" s="40"/>
      <c r="BG465" s="40"/>
      <c r="BH465" s="40"/>
      <c r="BI465" s="40"/>
      <c r="BJ465" s="40"/>
      <c r="BK465" s="40"/>
      <c r="BL465" s="40"/>
      <c r="BM465" s="40"/>
      <c r="BN465" s="40"/>
      <c r="BO465" s="40"/>
      <c r="BP465" s="40"/>
      <c r="BQ465" s="40"/>
      <c r="BR465" s="40"/>
      <c r="BS465" s="40"/>
      <c r="BT465" s="40"/>
      <c r="BU465" s="40"/>
      <c r="BV465" s="40"/>
      <c r="BW465" s="40"/>
      <c r="BX465" s="40"/>
      <c r="BY465" s="40"/>
      <c r="BZ465" s="40"/>
      <c r="CA465" s="40"/>
      <c r="CB465" s="40"/>
      <c r="CC465" s="40"/>
      <c r="CD465" s="40"/>
      <c r="CE465" s="40"/>
      <c r="CF465" s="40"/>
      <c r="CG465" s="40"/>
      <c r="CH465" s="40"/>
      <c r="CI465" s="40"/>
      <c r="CJ465" s="40"/>
      <c r="CK465" s="40"/>
      <c r="CL465" s="40"/>
      <c r="CM465" s="40"/>
      <c r="CN465" s="40"/>
      <c r="CO465" s="40"/>
      <c r="CP465" s="40"/>
      <c r="CQ465" s="40"/>
      <c r="CR465" s="40"/>
      <c r="CS465" s="40"/>
    </row>
    <row r="466" spans="1:97">
      <c r="A466" s="397"/>
      <c r="B466" s="397"/>
      <c r="C466" s="397"/>
      <c r="D466" s="397"/>
      <c r="E466" s="397"/>
      <c r="F466" s="397"/>
      <c r="G466" s="180"/>
      <c r="H466" s="46"/>
      <c r="I466" s="53"/>
      <c r="J466" s="53"/>
      <c r="K466" s="192"/>
      <c r="L466" s="192"/>
      <c r="M466" s="192"/>
      <c r="N466" s="192"/>
      <c r="O466" s="192"/>
      <c r="P466" s="192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40"/>
      <c r="AS466" s="40"/>
      <c r="AT466" s="40"/>
      <c r="AU466" s="40"/>
      <c r="AV466" s="40"/>
      <c r="AW466" s="40"/>
      <c r="AX466" s="40"/>
      <c r="AY466" s="40"/>
      <c r="AZ466" s="40"/>
      <c r="BA466" s="40"/>
      <c r="BB466" s="40"/>
      <c r="BC466" s="40"/>
      <c r="BD466" s="40"/>
      <c r="BE466" s="40"/>
      <c r="BF466" s="40"/>
      <c r="BG466" s="40"/>
      <c r="BH466" s="40"/>
      <c r="BI466" s="40"/>
      <c r="BJ466" s="40"/>
      <c r="BK466" s="40"/>
      <c r="BL466" s="40"/>
      <c r="BM466" s="40"/>
      <c r="BN466" s="40"/>
      <c r="BO466" s="40"/>
      <c r="BP466" s="40"/>
      <c r="BQ466" s="40"/>
      <c r="BR466" s="40"/>
      <c r="BS466" s="40"/>
      <c r="BT466" s="40"/>
      <c r="BU466" s="40"/>
      <c r="BV466" s="40"/>
      <c r="BW466" s="40"/>
      <c r="BX466" s="40"/>
      <c r="BY466" s="40"/>
      <c r="BZ466" s="40"/>
      <c r="CA466" s="40"/>
      <c r="CB466" s="40"/>
      <c r="CC466" s="40"/>
      <c r="CD466" s="40"/>
      <c r="CE466" s="40"/>
      <c r="CF466" s="40"/>
      <c r="CG466" s="40"/>
      <c r="CH466" s="40"/>
      <c r="CI466" s="40"/>
      <c r="CJ466" s="40"/>
      <c r="CK466" s="40"/>
      <c r="CL466" s="40"/>
      <c r="CM466" s="40"/>
      <c r="CN466" s="40"/>
      <c r="CO466" s="40"/>
      <c r="CP466" s="40"/>
      <c r="CQ466" s="40"/>
      <c r="CR466" s="40"/>
      <c r="CS466" s="40"/>
    </row>
    <row r="467" spans="1:97">
      <c r="A467" s="397"/>
      <c r="B467" s="397"/>
      <c r="C467" s="397"/>
      <c r="D467" s="397"/>
      <c r="E467" s="397"/>
      <c r="F467" s="397"/>
      <c r="G467" s="180"/>
      <c r="H467" s="46"/>
      <c r="I467" s="53"/>
      <c r="J467" s="53"/>
      <c r="K467" s="192"/>
      <c r="L467" s="192"/>
      <c r="M467" s="192"/>
      <c r="N467" s="192"/>
      <c r="O467" s="192"/>
      <c r="P467" s="192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 s="40"/>
      <c r="AR467" s="40"/>
      <c r="AS467" s="40"/>
      <c r="AT467" s="40"/>
      <c r="AU467" s="40"/>
      <c r="AV467" s="40"/>
      <c r="AW467" s="40"/>
      <c r="AX467" s="40"/>
      <c r="AY467" s="40"/>
      <c r="AZ467" s="40"/>
      <c r="BA467" s="40"/>
      <c r="BB467" s="40"/>
      <c r="BC467" s="40"/>
      <c r="BD467" s="40"/>
      <c r="BE467" s="40"/>
      <c r="BF467" s="40"/>
      <c r="BG467" s="40"/>
      <c r="BH467" s="40"/>
      <c r="BI467" s="40"/>
      <c r="BJ467" s="40"/>
      <c r="BK467" s="40"/>
      <c r="BL467" s="40"/>
      <c r="BM467" s="40"/>
      <c r="BN467" s="40"/>
      <c r="BO467" s="40"/>
      <c r="BP467" s="40"/>
      <c r="BQ467" s="40"/>
      <c r="BR467" s="40"/>
      <c r="BS467" s="40"/>
      <c r="BT467" s="40"/>
      <c r="BU467" s="40"/>
      <c r="BV467" s="40"/>
      <c r="BW467" s="40"/>
      <c r="BX467" s="40"/>
      <c r="BY467" s="40"/>
      <c r="BZ467" s="40"/>
      <c r="CA467" s="40"/>
      <c r="CB467" s="40"/>
      <c r="CC467" s="40"/>
      <c r="CD467" s="40"/>
      <c r="CE467" s="40"/>
      <c r="CF467" s="40"/>
      <c r="CG467" s="40"/>
      <c r="CH467" s="40"/>
      <c r="CI467" s="40"/>
      <c r="CJ467" s="40"/>
      <c r="CK467" s="40"/>
      <c r="CL467" s="40"/>
      <c r="CM467" s="40"/>
      <c r="CN467" s="40"/>
      <c r="CO467" s="40"/>
      <c r="CP467" s="40"/>
      <c r="CQ467" s="40"/>
      <c r="CR467" s="40"/>
      <c r="CS467" s="40"/>
    </row>
    <row r="468" spans="1:97">
      <c r="A468" s="397"/>
      <c r="B468" s="397"/>
      <c r="C468" s="397"/>
      <c r="D468" s="397"/>
      <c r="E468" s="397"/>
      <c r="F468" s="397"/>
      <c r="G468" s="180"/>
      <c r="H468" s="46"/>
      <c r="I468" s="53"/>
      <c r="J468" s="53"/>
      <c r="K468" s="192"/>
      <c r="L468" s="192"/>
      <c r="M468" s="192"/>
      <c r="N468" s="192"/>
      <c r="O468" s="192"/>
      <c r="P468" s="192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 s="40"/>
      <c r="AR468" s="40"/>
      <c r="AS468" s="40"/>
      <c r="AT468" s="40"/>
      <c r="AU468" s="40"/>
      <c r="AV468" s="40"/>
      <c r="AW468" s="40"/>
      <c r="AX468" s="40"/>
      <c r="AY468" s="40"/>
      <c r="AZ468" s="40"/>
      <c r="BA468" s="40"/>
      <c r="BB468" s="40"/>
      <c r="BC468" s="40"/>
      <c r="BD468" s="40"/>
      <c r="BE468" s="40"/>
      <c r="BF468" s="40"/>
      <c r="BG468" s="40"/>
      <c r="BH468" s="40"/>
      <c r="BI468" s="40"/>
      <c r="BJ468" s="40"/>
      <c r="BK468" s="40"/>
      <c r="BL468" s="40"/>
      <c r="BM468" s="40"/>
      <c r="BN468" s="40"/>
      <c r="BO468" s="40"/>
      <c r="BP468" s="40"/>
      <c r="BQ468" s="40"/>
      <c r="BR468" s="40"/>
      <c r="BS468" s="40"/>
      <c r="BT468" s="40"/>
      <c r="BU468" s="40"/>
      <c r="BV468" s="40"/>
      <c r="BW468" s="40"/>
      <c r="BX468" s="40"/>
      <c r="BY468" s="40"/>
      <c r="BZ468" s="40"/>
      <c r="CA468" s="40"/>
      <c r="CB468" s="40"/>
      <c r="CC468" s="40"/>
      <c r="CD468" s="40"/>
      <c r="CE468" s="40"/>
      <c r="CF468" s="40"/>
      <c r="CG468" s="40"/>
      <c r="CH468" s="40"/>
      <c r="CI468" s="40"/>
      <c r="CJ468" s="40"/>
      <c r="CK468" s="40"/>
      <c r="CL468" s="40"/>
      <c r="CM468" s="40"/>
      <c r="CN468" s="40"/>
      <c r="CO468" s="40"/>
      <c r="CP468" s="40"/>
      <c r="CQ468" s="40"/>
      <c r="CR468" s="40"/>
      <c r="CS468" s="40"/>
    </row>
    <row r="469" spans="1:97">
      <c r="A469" s="397"/>
      <c r="B469" s="397"/>
      <c r="C469" s="397"/>
      <c r="D469" s="397"/>
      <c r="E469" s="397"/>
      <c r="F469" s="397"/>
      <c r="G469" s="180"/>
      <c r="H469" s="46"/>
      <c r="I469" s="53"/>
      <c r="J469" s="53"/>
      <c r="K469" s="192"/>
      <c r="L469" s="192"/>
      <c r="M469" s="192"/>
      <c r="N469" s="192"/>
      <c r="O469" s="192"/>
      <c r="P469" s="192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40"/>
      <c r="AR469" s="40"/>
      <c r="AS469" s="40"/>
      <c r="AT469" s="40"/>
      <c r="AU469" s="40"/>
      <c r="AV469" s="40"/>
      <c r="AW469" s="40"/>
      <c r="AX469" s="40"/>
      <c r="AY469" s="40"/>
      <c r="AZ469" s="40"/>
      <c r="BA469" s="40"/>
      <c r="BB469" s="40"/>
      <c r="BC469" s="40"/>
      <c r="BD469" s="40"/>
      <c r="BE469" s="40"/>
      <c r="BF469" s="40"/>
      <c r="BG469" s="40"/>
      <c r="BH469" s="40"/>
      <c r="BI469" s="40"/>
      <c r="BJ469" s="40"/>
      <c r="BK469" s="40"/>
      <c r="BL469" s="40"/>
      <c r="BM469" s="40"/>
      <c r="BN469" s="40"/>
      <c r="BO469" s="40"/>
      <c r="BP469" s="40"/>
      <c r="BQ469" s="40"/>
      <c r="BR469" s="40"/>
      <c r="BS469" s="40"/>
      <c r="BT469" s="40"/>
      <c r="BU469" s="40"/>
      <c r="BV469" s="40"/>
      <c r="BW469" s="40"/>
      <c r="BX469" s="40"/>
      <c r="BY469" s="40"/>
      <c r="BZ469" s="40"/>
      <c r="CA469" s="40"/>
      <c r="CB469" s="40"/>
      <c r="CC469" s="40"/>
      <c r="CD469" s="40"/>
      <c r="CE469" s="40"/>
      <c r="CF469" s="40"/>
      <c r="CG469" s="40"/>
      <c r="CH469" s="40"/>
      <c r="CI469" s="40"/>
      <c r="CJ469" s="40"/>
      <c r="CK469" s="40"/>
      <c r="CL469" s="40"/>
      <c r="CM469" s="40"/>
      <c r="CN469" s="40"/>
      <c r="CO469" s="40"/>
      <c r="CP469" s="40"/>
      <c r="CQ469" s="40"/>
      <c r="CR469" s="40"/>
      <c r="CS469" s="40"/>
    </row>
    <row r="470" spans="1:97">
      <c r="A470" s="397"/>
      <c r="B470" s="397"/>
      <c r="C470" s="397"/>
      <c r="D470" s="397"/>
      <c r="E470" s="397"/>
      <c r="F470" s="397"/>
      <c r="G470" s="180"/>
      <c r="H470" s="46"/>
      <c r="I470" s="53"/>
      <c r="J470" s="53"/>
      <c r="K470" s="192"/>
      <c r="L470" s="192"/>
      <c r="M470" s="192"/>
      <c r="N470" s="192"/>
      <c r="O470" s="192"/>
      <c r="P470" s="192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  <c r="AM470" s="40"/>
      <c r="AN470" s="40"/>
      <c r="AO470" s="40"/>
      <c r="AP470" s="40"/>
      <c r="AQ470" s="40"/>
      <c r="AR470" s="40"/>
      <c r="AS470" s="40"/>
      <c r="AT470" s="40"/>
      <c r="AU470" s="40"/>
      <c r="AV470" s="40"/>
      <c r="AW470" s="40"/>
      <c r="AX470" s="40"/>
      <c r="AY470" s="40"/>
      <c r="AZ470" s="40"/>
      <c r="BA470" s="40"/>
      <c r="BB470" s="40"/>
      <c r="BC470" s="40"/>
      <c r="BD470" s="40"/>
      <c r="BE470" s="40"/>
      <c r="BF470" s="40"/>
      <c r="BG470" s="40"/>
      <c r="BH470" s="40"/>
      <c r="BI470" s="40"/>
      <c r="BJ470" s="40"/>
      <c r="BK470" s="40"/>
      <c r="BL470" s="40"/>
      <c r="BM470" s="40"/>
      <c r="BN470" s="40"/>
      <c r="BO470" s="40"/>
      <c r="BP470" s="40"/>
      <c r="BQ470" s="40"/>
      <c r="BR470" s="40"/>
      <c r="BS470" s="40"/>
      <c r="BT470" s="40"/>
      <c r="BU470" s="40"/>
      <c r="BV470" s="40"/>
      <c r="BW470" s="40"/>
      <c r="BX470" s="40"/>
      <c r="BY470" s="40"/>
      <c r="BZ470" s="40"/>
      <c r="CA470" s="40"/>
      <c r="CB470" s="40"/>
      <c r="CC470" s="40"/>
      <c r="CD470" s="40"/>
      <c r="CE470" s="40"/>
      <c r="CF470" s="40"/>
      <c r="CG470" s="40"/>
      <c r="CH470" s="40"/>
      <c r="CI470" s="40"/>
      <c r="CJ470" s="40"/>
      <c r="CK470" s="40"/>
      <c r="CL470" s="40"/>
      <c r="CM470" s="40"/>
      <c r="CN470" s="40"/>
      <c r="CO470" s="40"/>
      <c r="CP470" s="40"/>
      <c r="CQ470" s="40"/>
      <c r="CR470" s="40"/>
      <c r="CS470" s="40"/>
    </row>
    <row r="471" spans="1:97">
      <c r="A471" s="397"/>
      <c r="B471" s="397"/>
      <c r="C471" s="397"/>
      <c r="D471" s="397"/>
      <c r="E471" s="397"/>
      <c r="F471" s="397"/>
      <c r="G471" s="180"/>
      <c r="H471" s="46"/>
      <c r="I471" s="53"/>
      <c r="J471" s="53"/>
      <c r="K471" s="192"/>
      <c r="L471" s="192"/>
      <c r="M471" s="192"/>
      <c r="N471" s="192"/>
      <c r="O471" s="192"/>
      <c r="P471" s="192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/>
      <c r="AN471" s="40"/>
      <c r="AO471" s="40"/>
      <c r="AP471" s="40"/>
      <c r="AQ471" s="40"/>
      <c r="AR471" s="40"/>
      <c r="AS471" s="40"/>
      <c r="AT471" s="40"/>
      <c r="AU471" s="40"/>
      <c r="AV471" s="40"/>
      <c r="AW471" s="40"/>
      <c r="AX471" s="40"/>
      <c r="AY471" s="40"/>
      <c r="AZ471" s="40"/>
      <c r="BA471" s="40"/>
      <c r="BB471" s="40"/>
      <c r="BC471" s="40"/>
      <c r="BD471" s="40"/>
      <c r="BE471" s="40"/>
      <c r="BF471" s="40"/>
      <c r="BG471" s="40"/>
      <c r="BH471" s="40"/>
      <c r="BI471" s="40"/>
      <c r="BJ471" s="40"/>
      <c r="BK471" s="40"/>
      <c r="BL471" s="40"/>
      <c r="BM471" s="40"/>
      <c r="BN471" s="40"/>
      <c r="BO471" s="40"/>
      <c r="BP471" s="40"/>
      <c r="BQ471" s="40"/>
      <c r="BR471" s="40"/>
      <c r="BS471" s="40"/>
      <c r="BT471" s="40"/>
      <c r="BU471" s="40"/>
      <c r="BV471" s="40"/>
      <c r="BW471" s="40"/>
      <c r="BX471" s="40"/>
      <c r="BY471" s="40"/>
      <c r="BZ471" s="40"/>
      <c r="CA471" s="40"/>
      <c r="CB471" s="40"/>
      <c r="CC471" s="40"/>
      <c r="CD471" s="40"/>
      <c r="CE471" s="40"/>
      <c r="CF471" s="40"/>
      <c r="CG471" s="40"/>
      <c r="CH471" s="40"/>
      <c r="CI471" s="40"/>
      <c r="CJ471" s="40"/>
      <c r="CK471" s="40"/>
      <c r="CL471" s="40"/>
      <c r="CM471" s="40"/>
      <c r="CN471" s="40"/>
      <c r="CO471" s="40"/>
      <c r="CP471" s="40"/>
      <c r="CQ471" s="40"/>
      <c r="CR471" s="40"/>
      <c r="CS471" s="40"/>
    </row>
    <row r="472" spans="1:97">
      <c r="A472" s="397"/>
      <c r="B472" s="397"/>
      <c r="C472" s="397"/>
      <c r="D472" s="397"/>
      <c r="E472" s="397"/>
      <c r="F472" s="397"/>
      <c r="G472" s="180"/>
      <c r="H472" s="46"/>
      <c r="I472" s="53"/>
      <c r="J472" s="53"/>
      <c r="K472" s="192"/>
      <c r="L472" s="192"/>
      <c r="M472" s="192"/>
      <c r="N472" s="192"/>
      <c r="O472" s="192"/>
      <c r="P472" s="192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 s="40"/>
      <c r="AR472" s="40"/>
      <c r="AS472" s="40"/>
      <c r="AT472" s="40"/>
      <c r="AU472" s="40"/>
      <c r="AV472" s="40"/>
      <c r="AW472" s="40"/>
      <c r="AX472" s="40"/>
      <c r="AY472" s="40"/>
      <c r="AZ472" s="40"/>
      <c r="BA472" s="40"/>
      <c r="BB472" s="40"/>
      <c r="BC472" s="40"/>
      <c r="BD472" s="40"/>
      <c r="BE472" s="40"/>
      <c r="BF472" s="40"/>
      <c r="BG472" s="40"/>
      <c r="BH472" s="40"/>
      <c r="BI472" s="40"/>
      <c r="BJ472" s="40"/>
      <c r="BK472" s="40"/>
      <c r="BL472" s="40"/>
      <c r="BM472" s="40"/>
      <c r="BN472" s="40"/>
      <c r="BO472" s="40"/>
      <c r="BP472" s="40"/>
      <c r="BQ472" s="40"/>
      <c r="BR472" s="40"/>
      <c r="BS472" s="40"/>
      <c r="BT472" s="40"/>
      <c r="BU472" s="40"/>
      <c r="BV472" s="40"/>
      <c r="BW472" s="40"/>
      <c r="BX472" s="40"/>
      <c r="BY472" s="40"/>
      <c r="BZ472" s="40"/>
      <c r="CA472" s="40"/>
      <c r="CB472" s="40"/>
      <c r="CC472" s="40"/>
      <c r="CD472" s="40"/>
      <c r="CE472" s="40"/>
      <c r="CF472" s="40"/>
      <c r="CG472" s="40"/>
      <c r="CH472" s="40"/>
      <c r="CI472" s="40"/>
      <c r="CJ472" s="40"/>
      <c r="CK472" s="40"/>
      <c r="CL472" s="40"/>
      <c r="CM472" s="40"/>
      <c r="CN472" s="40"/>
      <c r="CO472" s="40"/>
      <c r="CP472" s="40"/>
      <c r="CQ472" s="40"/>
      <c r="CR472" s="40"/>
      <c r="CS472" s="40"/>
    </row>
    <row r="473" spans="1:97">
      <c r="A473" s="397"/>
      <c r="B473" s="397"/>
      <c r="C473" s="397"/>
      <c r="D473" s="397"/>
      <c r="E473" s="397"/>
      <c r="F473" s="397"/>
      <c r="G473" s="180"/>
      <c r="H473" s="46"/>
      <c r="I473" s="53"/>
      <c r="J473" s="53"/>
      <c r="K473" s="192"/>
      <c r="L473" s="192"/>
      <c r="M473" s="192"/>
      <c r="N473" s="192"/>
      <c r="O473" s="192"/>
      <c r="P473" s="192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 s="40"/>
      <c r="AR473" s="40"/>
      <c r="AS473" s="40"/>
      <c r="AT473" s="40"/>
      <c r="AU473" s="40"/>
      <c r="AV473" s="40"/>
      <c r="AW473" s="40"/>
      <c r="AX473" s="40"/>
      <c r="AY473" s="40"/>
      <c r="AZ473" s="40"/>
      <c r="BA473" s="40"/>
      <c r="BB473" s="40"/>
      <c r="BC473" s="40"/>
      <c r="BD473" s="40"/>
      <c r="BE473" s="40"/>
      <c r="BF473" s="40"/>
      <c r="BG473" s="40"/>
      <c r="BH473" s="40"/>
      <c r="BI473" s="40"/>
      <c r="BJ473" s="40"/>
      <c r="BK473" s="40"/>
      <c r="BL473" s="40"/>
      <c r="BM473" s="40"/>
      <c r="BN473" s="40"/>
      <c r="BO473" s="40"/>
      <c r="BP473" s="40"/>
      <c r="BQ473" s="40"/>
      <c r="BR473" s="40"/>
      <c r="BS473" s="40"/>
      <c r="BT473" s="40"/>
      <c r="BU473" s="40"/>
      <c r="BV473" s="40"/>
      <c r="BW473" s="40"/>
      <c r="BX473" s="40"/>
      <c r="BY473" s="40"/>
      <c r="BZ473" s="40"/>
      <c r="CA473" s="40"/>
      <c r="CB473" s="40"/>
      <c r="CC473" s="40"/>
      <c r="CD473" s="40"/>
      <c r="CE473" s="40"/>
      <c r="CF473" s="40"/>
      <c r="CG473" s="40"/>
      <c r="CH473" s="40"/>
      <c r="CI473" s="40"/>
      <c r="CJ473" s="40"/>
      <c r="CK473" s="40"/>
      <c r="CL473" s="40"/>
      <c r="CM473" s="40"/>
      <c r="CN473" s="40"/>
      <c r="CO473" s="40"/>
      <c r="CP473" s="40"/>
      <c r="CQ473" s="40"/>
      <c r="CR473" s="40"/>
      <c r="CS473" s="40"/>
    </row>
    <row r="474" spans="1:97">
      <c r="A474" s="397"/>
      <c r="B474" s="397"/>
      <c r="C474" s="397"/>
      <c r="D474" s="397"/>
      <c r="E474" s="397"/>
      <c r="F474" s="397"/>
      <c r="G474" s="180"/>
      <c r="H474" s="46"/>
      <c r="I474" s="53"/>
      <c r="J474" s="53"/>
      <c r="K474" s="192"/>
      <c r="L474" s="192"/>
      <c r="M474" s="192"/>
      <c r="N474" s="192"/>
      <c r="O474" s="192"/>
      <c r="P474" s="192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 s="40"/>
      <c r="AR474" s="40"/>
      <c r="AS474" s="40"/>
      <c r="AT474" s="40"/>
      <c r="AU474" s="40"/>
      <c r="AV474" s="40"/>
      <c r="AW474" s="40"/>
      <c r="AX474" s="40"/>
      <c r="AY474" s="40"/>
      <c r="AZ474" s="40"/>
      <c r="BA474" s="40"/>
      <c r="BB474" s="40"/>
      <c r="BC474" s="40"/>
      <c r="BD474" s="40"/>
      <c r="BE474" s="40"/>
      <c r="BF474" s="40"/>
      <c r="BG474" s="40"/>
      <c r="BH474" s="40"/>
      <c r="BI474" s="40"/>
      <c r="BJ474" s="40"/>
      <c r="BK474" s="40"/>
      <c r="BL474" s="40"/>
      <c r="BM474" s="40"/>
      <c r="BN474" s="40"/>
      <c r="BO474" s="40"/>
      <c r="BP474" s="40"/>
      <c r="BQ474" s="40"/>
      <c r="BR474" s="40"/>
      <c r="BS474" s="40"/>
      <c r="BT474" s="40"/>
      <c r="BU474" s="40"/>
      <c r="BV474" s="40"/>
      <c r="BW474" s="40"/>
      <c r="BX474" s="40"/>
      <c r="BY474" s="40"/>
      <c r="BZ474" s="40"/>
      <c r="CA474" s="40"/>
      <c r="CB474" s="40"/>
      <c r="CC474" s="40"/>
      <c r="CD474" s="40"/>
      <c r="CE474" s="40"/>
      <c r="CF474" s="40"/>
      <c r="CG474" s="40"/>
      <c r="CH474" s="40"/>
      <c r="CI474" s="40"/>
      <c r="CJ474" s="40"/>
      <c r="CK474" s="40"/>
      <c r="CL474" s="40"/>
      <c r="CM474" s="40"/>
      <c r="CN474" s="40"/>
      <c r="CO474" s="40"/>
      <c r="CP474" s="40"/>
      <c r="CQ474" s="40"/>
      <c r="CR474" s="40"/>
      <c r="CS474" s="40"/>
    </row>
    <row r="475" spans="1:97">
      <c r="A475" s="397"/>
      <c r="B475" s="397"/>
      <c r="C475" s="397"/>
      <c r="D475" s="397"/>
      <c r="E475" s="397"/>
      <c r="F475" s="397"/>
      <c r="G475" s="180"/>
      <c r="H475" s="46"/>
      <c r="I475" s="53"/>
      <c r="J475" s="53"/>
      <c r="K475" s="192"/>
      <c r="L475" s="192"/>
      <c r="M475" s="192"/>
      <c r="N475" s="192"/>
      <c r="O475" s="192"/>
      <c r="P475" s="192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 s="40"/>
      <c r="AR475" s="40"/>
      <c r="AS475" s="40"/>
      <c r="AT475" s="40"/>
      <c r="AU475" s="40"/>
      <c r="AV475" s="40"/>
      <c r="AW475" s="40"/>
      <c r="AX475" s="40"/>
      <c r="AY475" s="40"/>
      <c r="AZ475" s="40"/>
      <c r="BA475" s="40"/>
      <c r="BB475" s="40"/>
      <c r="BC475" s="40"/>
      <c r="BD475" s="40"/>
      <c r="BE475" s="40"/>
      <c r="BF475" s="40"/>
      <c r="BG475" s="40"/>
      <c r="BH475" s="40"/>
      <c r="BI475" s="40"/>
      <c r="BJ475" s="40"/>
      <c r="BK475" s="40"/>
      <c r="BL475" s="40"/>
      <c r="BM475" s="40"/>
      <c r="BN475" s="40"/>
      <c r="BO475" s="40"/>
      <c r="BP475" s="40"/>
      <c r="BQ475" s="40"/>
      <c r="BR475" s="40"/>
      <c r="BS475" s="40"/>
      <c r="BT475" s="40"/>
      <c r="BU475" s="40"/>
      <c r="BV475" s="40"/>
      <c r="BW475" s="40"/>
      <c r="BX475" s="40"/>
      <c r="BY475" s="40"/>
      <c r="BZ475" s="40"/>
      <c r="CA475" s="40"/>
      <c r="CB475" s="40"/>
      <c r="CC475" s="40"/>
      <c r="CD475" s="40"/>
      <c r="CE475" s="40"/>
      <c r="CF475" s="40"/>
      <c r="CG475" s="40"/>
      <c r="CH475" s="40"/>
      <c r="CI475" s="40"/>
      <c r="CJ475" s="40"/>
      <c r="CK475" s="40"/>
      <c r="CL475" s="40"/>
      <c r="CM475" s="40"/>
      <c r="CN475" s="40"/>
      <c r="CO475" s="40"/>
      <c r="CP475" s="40"/>
      <c r="CQ475" s="40"/>
      <c r="CR475" s="40"/>
      <c r="CS475" s="40"/>
    </row>
    <row r="476" spans="1:97">
      <c r="A476" s="397"/>
      <c r="B476" s="397"/>
      <c r="C476" s="397"/>
      <c r="D476" s="397"/>
      <c r="E476" s="397"/>
      <c r="F476" s="397"/>
      <c r="G476" s="180"/>
      <c r="H476" s="46"/>
      <c r="I476" s="53"/>
      <c r="J476" s="53"/>
      <c r="K476" s="192"/>
      <c r="L476" s="192"/>
      <c r="M476" s="192"/>
      <c r="N476" s="192"/>
      <c r="O476" s="192"/>
      <c r="P476" s="192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/>
      <c r="AN476" s="40"/>
      <c r="AO476" s="40"/>
      <c r="AP476" s="40"/>
      <c r="AQ476" s="40"/>
      <c r="AR476" s="40"/>
      <c r="AS476" s="40"/>
      <c r="AT476" s="40"/>
      <c r="AU476" s="40"/>
      <c r="AV476" s="40"/>
      <c r="AW476" s="40"/>
      <c r="AX476" s="40"/>
      <c r="AY476" s="40"/>
      <c r="AZ476" s="40"/>
      <c r="BA476" s="40"/>
      <c r="BB476" s="40"/>
      <c r="BC476" s="40"/>
      <c r="BD476" s="40"/>
      <c r="BE476" s="40"/>
      <c r="BF476" s="40"/>
      <c r="BG476" s="40"/>
      <c r="BH476" s="40"/>
      <c r="BI476" s="40"/>
      <c r="BJ476" s="40"/>
      <c r="BK476" s="40"/>
      <c r="BL476" s="40"/>
      <c r="BM476" s="40"/>
      <c r="BN476" s="40"/>
      <c r="BO476" s="40"/>
      <c r="BP476" s="40"/>
      <c r="BQ476" s="40"/>
      <c r="BR476" s="40"/>
      <c r="BS476" s="40"/>
      <c r="BT476" s="40"/>
      <c r="BU476" s="40"/>
      <c r="BV476" s="40"/>
      <c r="BW476" s="40"/>
      <c r="BX476" s="40"/>
      <c r="BY476" s="40"/>
      <c r="BZ476" s="40"/>
      <c r="CA476" s="40"/>
      <c r="CB476" s="40"/>
      <c r="CC476" s="40"/>
      <c r="CD476" s="40"/>
      <c r="CE476" s="40"/>
      <c r="CF476" s="40"/>
      <c r="CG476" s="40"/>
      <c r="CH476" s="40"/>
      <c r="CI476" s="40"/>
      <c r="CJ476" s="40"/>
      <c r="CK476" s="40"/>
      <c r="CL476" s="40"/>
      <c r="CM476" s="40"/>
      <c r="CN476" s="40"/>
      <c r="CO476" s="40"/>
      <c r="CP476" s="40"/>
      <c r="CQ476" s="40"/>
      <c r="CR476" s="40"/>
      <c r="CS476" s="40"/>
    </row>
    <row r="477" spans="1:97">
      <c r="A477" s="397"/>
      <c r="B477" s="397"/>
      <c r="C477" s="397"/>
      <c r="D477" s="397"/>
      <c r="E477" s="397"/>
      <c r="F477" s="397"/>
      <c r="G477" s="180"/>
      <c r="H477" s="46"/>
      <c r="I477" s="53"/>
      <c r="J477" s="53"/>
      <c r="K477" s="192"/>
      <c r="L477" s="192"/>
      <c r="M477" s="192"/>
      <c r="N477" s="192"/>
      <c r="O477" s="192"/>
      <c r="P477" s="192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  <c r="AM477" s="40"/>
      <c r="AN477" s="40"/>
      <c r="AO477" s="40"/>
      <c r="AP477" s="40"/>
      <c r="AQ477" s="40"/>
      <c r="AR477" s="40"/>
      <c r="AS477" s="40"/>
      <c r="AT477" s="40"/>
      <c r="AU477" s="40"/>
      <c r="AV477" s="40"/>
      <c r="AW477" s="40"/>
      <c r="AX477" s="40"/>
      <c r="AY477" s="40"/>
      <c r="AZ477" s="40"/>
      <c r="BA477" s="40"/>
      <c r="BB477" s="40"/>
      <c r="BC477" s="40"/>
      <c r="BD477" s="40"/>
      <c r="BE477" s="40"/>
      <c r="BF477" s="40"/>
      <c r="BG477" s="40"/>
      <c r="BH477" s="40"/>
      <c r="BI477" s="40"/>
      <c r="BJ477" s="40"/>
      <c r="BK477" s="40"/>
      <c r="BL477" s="40"/>
      <c r="BM477" s="40"/>
      <c r="BN477" s="40"/>
      <c r="BO477" s="40"/>
      <c r="BP477" s="40"/>
      <c r="BQ477" s="40"/>
      <c r="BR477" s="40"/>
      <c r="BS477" s="40"/>
      <c r="BT477" s="40"/>
      <c r="BU477" s="40"/>
      <c r="BV477" s="40"/>
      <c r="BW477" s="40"/>
      <c r="BX477" s="40"/>
      <c r="BY477" s="40"/>
      <c r="BZ477" s="40"/>
      <c r="CA477" s="40"/>
      <c r="CB477" s="40"/>
      <c r="CC477" s="40"/>
      <c r="CD477" s="40"/>
      <c r="CE477" s="40"/>
      <c r="CF477" s="40"/>
      <c r="CG477" s="40"/>
      <c r="CH477" s="40"/>
      <c r="CI477" s="40"/>
      <c r="CJ477" s="40"/>
      <c r="CK477" s="40"/>
      <c r="CL477" s="40"/>
      <c r="CM477" s="40"/>
      <c r="CN477" s="40"/>
      <c r="CO477" s="40"/>
      <c r="CP477" s="40"/>
      <c r="CQ477" s="40"/>
      <c r="CR477" s="40"/>
      <c r="CS477" s="40"/>
    </row>
    <row r="478" spans="1:97">
      <c r="A478" s="397"/>
      <c r="B478" s="397"/>
      <c r="C478" s="397"/>
      <c r="D478" s="397"/>
      <c r="E478" s="397"/>
      <c r="F478" s="397"/>
      <c r="G478" s="180"/>
      <c r="H478" s="46"/>
      <c r="I478" s="53"/>
      <c r="J478" s="53"/>
      <c r="K478" s="192"/>
      <c r="L478" s="192"/>
      <c r="M478" s="192"/>
      <c r="N478" s="192"/>
      <c r="O478" s="192"/>
      <c r="P478" s="192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 s="40"/>
      <c r="AR478" s="40"/>
      <c r="AS478" s="40"/>
      <c r="AT478" s="40"/>
      <c r="AU478" s="40"/>
      <c r="AV478" s="40"/>
      <c r="AW478" s="40"/>
      <c r="AX478" s="40"/>
      <c r="AY478" s="40"/>
      <c r="AZ478" s="40"/>
      <c r="BA478" s="40"/>
      <c r="BB478" s="40"/>
      <c r="BC478" s="40"/>
      <c r="BD478" s="40"/>
      <c r="BE478" s="40"/>
      <c r="BF478" s="40"/>
      <c r="BG478" s="40"/>
      <c r="BH478" s="40"/>
      <c r="BI478" s="40"/>
      <c r="BJ478" s="40"/>
      <c r="BK478" s="40"/>
      <c r="BL478" s="40"/>
      <c r="BM478" s="40"/>
      <c r="BN478" s="40"/>
      <c r="BO478" s="40"/>
      <c r="BP478" s="40"/>
      <c r="BQ478" s="40"/>
      <c r="BR478" s="40"/>
      <c r="BS478" s="40"/>
      <c r="BT478" s="40"/>
      <c r="BU478" s="40"/>
      <c r="BV478" s="40"/>
      <c r="BW478" s="40"/>
      <c r="BX478" s="40"/>
      <c r="BY478" s="40"/>
      <c r="BZ478" s="40"/>
      <c r="CA478" s="40"/>
      <c r="CB478" s="40"/>
      <c r="CC478" s="40"/>
      <c r="CD478" s="40"/>
      <c r="CE478" s="40"/>
      <c r="CF478" s="40"/>
      <c r="CG478" s="40"/>
      <c r="CH478" s="40"/>
      <c r="CI478" s="40"/>
      <c r="CJ478" s="40"/>
      <c r="CK478" s="40"/>
      <c r="CL478" s="40"/>
      <c r="CM478" s="40"/>
      <c r="CN478" s="40"/>
      <c r="CO478" s="40"/>
      <c r="CP478" s="40"/>
      <c r="CQ478" s="40"/>
      <c r="CR478" s="40"/>
      <c r="CS478" s="40"/>
    </row>
    <row r="479" spans="1:97">
      <c r="A479" s="397"/>
      <c r="B479" s="397"/>
      <c r="C479" s="397"/>
      <c r="D479" s="397"/>
      <c r="E479" s="397"/>
      <c r="F479" s="397"/>
      <c r="G479" s="180"/>
      <c r="H479" s="46"/>
      <c r="I479" s="53"/>
      <c r="J479" s="53"/>
      <c r="K479" s="192"/>
      <c r="L479" s="192"/>
      <c r="M479" s="192"/>
      <c r="N479" s="192"/>
      <c r="O479" s="192"/>
      <c r="P479" s="192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 s="40"/>
      <c r="AR479" s="40"/>
      <c r="AS479" s="40"/>
      <c r="AT479" s="40"/>
      <c r="AU479" s="40"/>
      <c r="AV479" s="40"/>
      <c r="AW479" s="40"/>
      <c r="AX479" s="40"/>
      <c r="AY479" s="40"/>
      <c r="AZ479" s="40"/>
      <c r="BA479" s="40"/>
      <c r="BB479" s="40"/>
      <c r="BC479" s="40"/>
      <c r="BD479" s="40"/>
      <c r="BE479" s="40"/>
      <c r="BF479" s="40"/>
      <c r="BG479" s="40"/>
      <c r="BH479" s="40"/>
      <c r="BI479" s="40"/>
      <c r="BJ479" s="40"/>
      <c r="BK479" s="40"/>
      <c r="BL479" s="40"/>
      <c r="BM479" s="40"/>
      <c r="BN479" s="40"/>
      <c r="BO479" s="40"/>
      <c r="BP479" s="40"/>
      <c r="BQ479" s="40"/>
      <c r="BR479" s="40"/>
      <c r="BS479" s="40"/>
      <c r="BT479" s="40"/>
      <c r="BU479" s="40"/>
      <c r="BV479" s="40"/>
      <c r="BW479" s="40"/>
      <c r="BX479" s="40"/>
      <c r="BY479" s="40"/>
      <c r="BZ479" s="40"/>
      <c r="CA479" s="40"/>
      <c r="CB479" s="40"/>
      <c r="CC479" s="40"/>
      <c r="CD479" s="40"/>
      <c r="CE479" s="40"/>
      <c r="CF479" s="40"/>
      <c r="CG479" s="40"/>
      <c r="CH479" s="40"/>
      <c r="CI479" s="40"/>
      <c r="CJ479" s="40"/>
      <c r="CK479" s="40"/>
      <c r="CL479" s="40"/>
      <c r="CM479" s="40"/>
      <c r="CN479" s="40"/>
      <c r="CO479" s="40"/>
      <c r="CP479" s="40"/>
      <c r="CQ479" s="40"/>
      <c r="CR479" s="40"/>
      <c r="CS479" s="40"/>
    </row>
    <row r="480" spans="1:97">
      <c r="A480" s="397"/>
      <c r="B480" s="397"/>
      <c r="C480" s="397"/>
      <c r="D480" s="397"/>
      <c r="E480" s="397"/>
      <c r="F480" s="397"/>
      <c r="G480" s="180"/>
      <c r="H480" s="46"/>
      <c r="I480" s="53"/>
      <c r="J480" s="53"/>
      <c r="K480" s="192"/>
      <c r="L480" s="192"/>
      <c r="M480" s="192"/>
      <c r="N480" s="192"/>
      <c r="O480" s="192"/>
      <c r="P480" s="192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 s="40"/>
      <c r="AR480" s="40"/>
      <c r="AS480" s="40"/>
      <c r="AT480" s="40"/>
      <c r="AU480" s="40"/>
      <c r="AV480" s="40"/>
      <c r="AW480" s="40"/>
      <c r="AX480" s="40"/>
      <c r="AY480" s="40"/>
      <c r="AZ480" s="40"/>
      <c r="BA480" s="40"/>
      <c r="BB480" s="40"/>
      <c r="BC480" s="40"/>
      <c r="BD480" s="40"/>
      <c r="BE480" s="40"/>
      <c r="BF480" s="40"/>
      <c r="BG480" s="40"/>
      <c r="BH480" s="40"/>
      <c r="BI480" s="40"/>
      <c r="BJ480" s="40"/>
      <c r="BK480" s="40"/>
      <c r="BL480" s="40"/>
      <c r="BM480" s="40"/>
      <c r="BN480" s="40"/>
      <c r="BO480" s="40"/>
      <c r="BP480" s="40"/>
      <c r="BQ480" s="40"/>
      <c r="BR480" s="40"/>
      <c r="BS480" s="40"/>
      <c r="BT480" s="40"/>
      <c r="BU480" s="40"/>
      <c r="BV480" s="40"/>
      <c r="BW480" s="40"/>
      <c r="BX480" s="40"/>
      <c r="BY480" s="40"/>
      <c r="BZ480" s="40"/>
      <c r="CA480" s="40"/>
      <c r="CB480" s="40"/>
      <c r="CC480" s="40"/>
      <c r="CD480" s="40"/>
      <c r="CE480" s="40"/>
      <c r="CF480" s="40"/>
      <c r="CG480" s="40"/>
      <c r="CH480" s="40"/>
      <c r="CI480" s="40"/>
      <c r="CJ480" s="40"/>
      <c r="CK480" s="40"/>
      <c r="CL480" s="40"/>
      <c r="CM480" s="40"/>
      <c r="CN480" s="40"/>
      <c r="CO480" s="40"/>
      <c r="CP480" s="40"/>
      <c r="CQ480" s="40"/>
      <c r="CR480" s="40"/>
      <c r="CS480" s="40"/>
    </row>
    <row r="481" spans="1:97">
      <c r="A481" s="397"/>
      <c r="B481" s="397"/>
      <c r="C481" s="397"/>
      <c r="D481" s="397"/>
      <c r="E481" s="397"/>
      <c r="F481" s="397"/>
      <c r="G481" s="180"/>
      <c r="H481" s="46"/>
      <c r="I481" s="53"/>
      <c r="J481" s="53"/>
      <c r="K481" s="192"/>
      <c r="L481" s="192"/>
      <c r="M481" s="192"/>
      <c r="N481" s="192"/>
      <c r="O481" s="192"/>
      <c r="P481" s="192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 s="40"/>
      <c r="AR481" s="40"/>
      <c r="AS481" s="40"/>
      <c r="AT481" s="40"/>
      <c r="AU481" s="40"/>
      <c r="AV481" s="40"/>
      <c r="AW481" s="40"/>
      <c r="AX481" s="40"/>
      <c r="AY481" s="40"/>
      <c r="AZ481" s="40"/>
      <c r="BA481" s="40"/>
      <c r="BB481" s="40"/>
      <c r="BC481" s="40"/>
      <c r="BD481" s="40"/>
      <c r="BE481" s="40"/>
      <c r="BF481" s="40"/>
      <c r="BG481" s="40"/>
      <c r="BH481" s="40"/>
      <c r="BI481" s="40"/>
      <c r="BJ481" s="40"/>
      <c r="BK481" s="40"/>
      <c r="BL481" s="40"/>
      <c r="BM481" s="40"/>
      <c r="BN481" s="40"/>
      <c r="BO481" s="40"/>
      <c r="BP481" s="40"/>
      <c r="BQ481" s="40"/>
      <c r="BR481" s="40"/>
      <c r="BS481" s="40"/>
      <c r="BT481" s="40"/>
      <c r="BU481" s="40"/>
      <c r="BV481" s="40"/>
      <c r="BW481" s="40"/>
      <c r="BX481" s="40"/>
      <c r="BY481" s="40"/>
      <c r="BZ481" s="40"/>
      <c r="CA481" s="40"/>
      <c r="CB481" s="40"/>
      <c r="CC481" s="40"/>
      <c r="CD481" s="40"/>
      <c r="CE481" s="40"/>
      <c r="CF481" s="40"/>
      <c r="CG481" s="40"/>
      <c r="CH481" s="40"/>
      <c r="CI481" s="40"/>
      <c r="CJ481" s="40"/>
      <c r="CK481" s="40"/>
      <c r="CL481" s="40"/>
      <c r="CM481" s="40"/>
      <c r="CN481" s="40"/>
      <c r="CO481" s="40"/>
      <c r="CP481" s="40"/>
      <c r="CQ481" s="40"/>
      <c r="CR481" s="40"/>
      <c r="CS481" s="40"/>
    </row>
    <row r="482" spans="1:97">
      <c r="A482" s="397"/>
      <c r="B482" s="397"/>
      <c r="C482" s="397"/>
      <c r="D482" s="397"/>
      <c r="E482" s="397"/>
      <c r="F482" s="397"/>
      <c r="G482" s="180"/>
      <c r="H482" s="46"/>
      <c r="I482" s="53"/>
      <c r="J482" s="53"/>
      <c r="K482" s="192"/>
      <c r="L482" s="192"/>
      <c r="M482" s="192"/>
      <c r="N482" s="192"/>
      <c r="O482" s="192"/>
      <c r="P482" s="192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  <c r="AK482" s="40"/>
      <c r="AL482" s="40"/>
      <c r="AM482" s="40"/>
      <c r="AN482" s="40"/>
      <c r="AO482" s="40"/>
      <c r="AP482" s="40"/>
      <c r="AQ482" s="40"/>
      <c r="AR482" s="40"/>
      <c r="AS482" s="40"/>
      <c r="AT482" s="40"/>
      <c r="AU482" s="40"/>
      <c r="AV482" s="40"/>
      <c r="AW482" s="40"/>
      <c r="AX482" s="40"/>
      <c r="AY482" s="40"/>
      <c r="AZ482" s="40"/>
      <c r="BA482" s="40"/>
      <c r="BB482" s="40"/>
      <c r="BC482" s="40"/>
      <c r="BD482" s="40"/>
      <c r="BE482" s="40"/>
      <c r="BF482" s="40"/>
      <c r="BG482" s="40"/>
      <c r="BH482" s="40"/>
      <c r="BI482" s="40"/>
      <c r="BJ482" s="40"/>
      <c r="BK482" s="40"/>
      <c r="BL482" s="40"/>
      <c r="BM482" s="40"/>
      <c r="BN482" s="40"/>
      <c r="BO482" s="40"/>
      <c r="BP482" s="40"/>
      <c r="BQ482" s="40"/>
      <c r="BR482" s="40"/>
      <c r="BS482" s="40"/>
      <c r="BT482" s="40"/>
      <c r="BU482" s="40"/>
      <c r="BV482" s="40"/>
      <c r="BW482" s="40"/>
      <c r="BX482" s="40"/>
      <c r="BY482" s="40"/>
      <c r="BZ482" s="40"/>
      <c r="CA482" s="40"/>
      <c r="CB482" s="40"/>
      <c r="CC482" s="40"/>
      <c r="CD482" s="40"/>
      <c r="CE482" s="40"/>
      <c r="CF482" s="40"/>
      <c r="CG482" s="40"/>
      <c r="CH482" s="40"/>
      <c r="CI482" s="40"/>
      <c r="CJ482" s="40"/>
      <c r="CK482" s="40"/>
      <c r="CL482" s="40"/>
      <c r="CM482" s="40"/>
      <c r="CN482" s="40"/>
      <c r="CO482" s="40"/>
      <c r="CP482" s="40"/>
      <c r="CQ482" s="40"/>
      <c r="CR482" s="40"/>
      <c r="CS482" s="40"/>
    </row>
    <row r="483" spans="1:97">
      <c r="A483" s="397"/>
      <c r="B483" s="397"/>
      <c r="C483" s="397"/>
      <c r="D483" s="397"/>
      <c r="E483" s="397"/>
      <c r="F483" s="397"/>
      <c r="G483" s="180"/>
      <c r="H483" s="46"/>
      <c r="I483" s="53"/>
      <c r="J483" s="53"/>
      <c r="K483" s="192"/>
      <c r="L483" s="192"/>
      <c r="M483" s="192"/>
      <c r="N483" s="192"/>
      <c r="O483" s="192"/>
      <c r="P483" s="192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 s="40"/>
      <c r="AR483" s="40"/>
      <c r="AS483" s="40"/>
      <c r="AT483" s="40"/>
      <c r="AU483" s="40"/>
      <c r="AV483" s="40"/>
      <c r="AW483" s="40"/>
      <c r="AX483" s="40"/>
      <c r="AY483" s="40"/>
      <c r="AZ483" s="40"/>
      <c r="BA483" s="40"/>
      <c r="BB483" s="40"/>
      <c r="BC483" s="40"/>
      <c r="BD483" s="40"/>
      <c r="BE483" s="40"/>
      <c r="BF483" s="40"/>
      <c r="BG483" s="40"/>
      <c r="BH483" s="40"/>
      <c r="BI483" s="40"/>
      <c r="BJ483" s="40"/>
      <c r="BK483" s="40"/>
      <c r="BL483" s="40"/>
      <c r="BM483" s="40"/>
      <c r="BN483" s="40"/>
      <c r="BO483" s="40"/>
      <c r="BP483" s="40"/>
      <c r="BQ483" s="40"/>
      <c r="BR483" s="40"/>
      <c r="BS483" s="40"/>
      <c r="BT483" s="40"/>
      <c r="BU483" s="40"/>
      <c r="BV483" s="40"/>
      <c r="BW483" s="40"/>
      <c r="BX483" s="40"/>
      <c r="BY483" s="40"/>
      <c r="BZ483" s="40"/>
      <c r="CA483" s="40"/>
      <c r="CB483" s="40"/>
      <c r="CC483" s="40"/>
      <c r="CD483" s="40"/>
      <c r="CE483" s="40"/>
      <c r="CF483" s="40"/>
      <c r="CG483" s="40"/>
      <c r="CH483" s="40"/>
      <c r="CI483" s="40"/>
      <c r="CJ483" s="40"/>
      <c r="CK483" s="40"/>
      <c r="CL483" s="40"/>
      <c r="CM483" s="40"/>
      <c r="CN483" s="40"/>
      <c r="CO483" s="40"/>
      <c r="CP483" s="40"/>
      <c r="CQ483" s="40"/>
      <c r="CR483" s="40"/>
      <c r="CS483" s="40"/>
    </row>
    <row r="484" spans="1:97">
      <c r="A484" s="397"/>
      <c r="B484" s="397"/>
      <c r="C484" s="397"/>
      <c r="D484" s="397"/>
      <c r="E484" s="397"/>
      <c r="F484" s="397"/>
      <c r="G484" s="180"/>
      <c r="H484" s="46"/>
      <c r="I484" s="53"/>
      <c r="J484" s="53"/>
      <c r="K484" s="192"/>
      <c r="L484" s="192"/>
      <c r="M484" s="192"/>
      <c r="N484" s="192"/>
      <c r="O484" s="192"/>
      <c r="P484" s="192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  <c r="AK484" s="40"/>
      <c r="AL484" s="40"/>
      <c r="AM484" s="40"/>
      <c r="AN484" s="40"/>
      <c r="AO484" s="40"/>
      <c r="AP484" s="40"/>
      <c r="AQ484" s="40"/>
      <c r="AR484" s="40"/>
      <c r="AS484" s="40"/>
      <c r="AT484" s="40"/>
      <c r="AU484" s="40"/>
      <c r="AV484" s="40"/>
      <c r="AW484" s="40"/>
      <c r="AX484" s="40"/>
      <c r="AY484" s="40"/>
      <c r="AZ484" s="40"/>
      <c r="BA484" s="40"/>
      <c r="BB484" s="40"/>
      <c r="BC484" s="40"/>
      <c r="BD484" s="40"/>
      <c r="BE484" s="40"/>
      <c r="BF484" s="40"/>
      <c r="BG484" s="40"/>
      <c r="BH484" s="40"/>
      <c r="BI484" s="40"/>
      <c r="BJ484" s="40"/>
      <c r="BK484" s="40"/>
      <c r="BL484" s="40"/>
      <c r="BM484" s="40"/>
      <c r="BN484" s="40"/>
      <c r="BO484" s="40"/>
      <c r="BP484" s="40"/>
      <c r="BQ484" s="40"/>
      <c r="BR484" s="40"/>
      <c r="BS484" s="40"/>
      <c r="BT484" s="40"/>
      <c r="BU484" s="40"/>
      <c r="BV484" s="40"/>
      <c r="BW484" s="40"/>
      <c r="BX484" s="40"/>
      <c r="BY484" s="40"/>
      <c r="BZ484" s="40"/>
      <c r="CA484" s="40"/>
      <c r="CB484" s="40"/>
      <c r="CC484" s="40"/>
      <c r="CD484" s="40"/>
      <c r="CE484" s="40"/>
      <c r="CF484" s="40"/>
      <c r="CG484" s="40"/>
      <c r="CH484" s="40"/>
      <c r="CI484" s="40"/>
      <c r="CJ484" s="40"/>
      <c r="CK484" s="40"/>
      <c r="CL484" s="40"/>
      <c r="CM484" s="40"/>
      <c r="CN484" s="40"/>
      <c r="CO484" s="40"/>
      <c r="CP484" s="40"/>
      <c r="CQ484" s="40"/>
      <c r="CR484" s="40"/>
      <c r="CS484" s="40"/>
    </row>
    <row r="485" spans="1:97">
      <c r="A485" s="397"/>
      <c r="B485" s="397"/>
      <c r="C485" s="397"/>
      <c r="D485" s="397"/>
      <c r="E485" s="397"/>
      <c r="F485" s="397"/>
      <c r="G485" s="180"/>
      <c r="H485" s="46"/>
      <c r="I485" s="53"/>
      <c r="J485" s="53"/>
      <c r="K485" s="192"/>
      <c r="L485" s="192"/>
      <c r="M485" s="192"/>
      <c r="N485" s="192"/>
      <c r="O485" s="192"/>
      <c r="P485" s="192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  <c r="AK485" s="40"/>
      <c r="AL485" s="40"/>
      <c r="AM485" s="40"/>
      <c r="AN485" s="40"/>
      <c r="AO485" s="40"/>
      <c r="AP485" s="40"/>
      <c r="AQ485" s="40"/>
      <c r="AR485" s="40"/>
      <c r="AS485" s="40"/>
      <c r="AT485" s="40"/>
      <c r="AU485" s="40"/>
      <c r="AV485" s="40"/>
      <c r="AW485" s="40"/>
      <c r="AX485" s="40"/>
      <c r="AY485" s="40"/>
      <c r="AZ485" s="40"/>
      <c r="BA485" s="40"/>
      <c r="BB485" s="40"/>
      <c r="BC485" s="40"/>
      <c r="BD485" s="40"/>
      <c r="BE485" s="40"/>
      <c r="BF485" s="40"/>
      <c r="BG485" s="40"/>
      <c r="BH485" s="40"/>
      <c r="BI485" s="40"/>
      <c r="BJ485" s="40"/>
      <c r="BK485" s="40"/>
      <c r="BL485" s="40"/>
      <c r="BM485" s="40"/>
      <c r="BN485" s="40"/>
      <c r="BO485" s="40"/>
      <c r="BP485" s="40"/>
      <c r="BQ485" s="40"/>
      <c r="BR485" s="40"/>
      <c r="BS485" s="40"/>
      <c r="BT485" s="40"/>
      <c r="BU485" s="40"/>
      <c r="BV485" s="40"/>
      <c r="BW485" s="40"/>
      <c r="BX485" s="40"/>
      <c r="BY485" s="40"/>
      <c r="BZ485" s="40"/>
      <c r="CA485" s="40"/>
      <c r="CB485" s="40"/>
      <c r="CC485" s="40"/>
      <c r="CD485" s="40"/>
      <c r="CE485" s="40"/>
      <c r="CF485" s="40"/>
      <c r="CG485" s="40"/>
      <c r="CH485" s="40"/>
      <c r="CI485" s="40"/>
      <c r="CJ485" s="40"/>
      <c r="CK485" s="40"/>
      <c r="CL485" s="40"/>
      <c r="CM485" s="40"/>
      <c r="CN485" s="40"/>
      <c r="CO485" s="40"/>
      <c r="CP485" s="40"/>
      <c r="CQ485" s="40"/>
      <c r="CR485" s="40"/>
      <c r="CS485" s="40"/>
    </row>
    <row r="486" spans="1:97">
      <c r="A486" s="397"/>
      <c r="B486" s="397"/>
      <c r="C486" s="397"/>
      <c r="D486" s="397"/>
      <c r="E486" s="397"/>
      <c r="F486" s="397"/>
      <c r="G486" s="180"/>
      <c r="H486" s="46"/>
      <c r="I486" s="53"/>
      <c r="J486" s="53"/>
      <c r="K486" s="192"/>
      <c r="L486" s="192"/>
      <c r="M486" s="192"/>
      <c r="N486" s="192"/>
      <c r="O486" s="192"/>
      <c r="P486" s="192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0"/>
      <c r="AK486" s="40"/>
      <c r="AL486" s="40"/>
      <c r="AM486" s="40"/>
      <c r="AN486" s="40"/>
      <c r="AO486" s="40"/>
      <c r="AP486" s="40"/>
      <c r="AQ486" s="40"/>
      <c r="AR486" s="40"/>
      <c r="AS486" s="40"/>
      <c r="AT486" s="40"/>
      <c r="AU486" s="40"/>
      <c r="AV486" s="40"/>
      <c r="AW486" s="40"/>
      <c r="AX486" s="40"/>
      <c r="AY486" s="40"/>
      <c r="AZ486" s="40"/>
      <c r="BA486" s="40"/>
      <c r="BB486" s="40"/>
      <c r="BC486" s="40"/>
      <c r="BD486" s="40"/>
      <c r="BE486" s="40"/>
      <c r="BF486" s="40"/>
      <c r="BG486" s="40"/>
      <c r="BH486" s="40"/>
      <c r="BI486" s="40"/>
      <c r="BJ486" s="40"/>
      <c r="BK486" s="40"/>
      <c r="BL486" s="40"/>
      <c r="BM486" s="40"/>
      <c r="BN486" s="40"/>
      <c r="BO486" s="40"/>
      <c r="BP486" s="40"/>
      <c r="BQ486" s="40"/>
      <c r="BR486" s="40"/>
      <c r="BS486" s="40"/>
      <c r="BT486" s="40"/>
      <c r="BU486" s="40"/>
      <c r="BV486" s="40"/>
      <c r="BW486" s="40"/>
      <c r="BX486" s="40"/>
      <c r="BY486" s="40"/>
      <c r="BZ486" s="40"/>
      <c r="CA486" s="40"/>
      <c r="CB486" s="40"/>
      <c r="CC486" s="40"/>
      <c r="CD486" s="40"/>
      <c r="CE486" s="40"/>
      <c r="CF486" s="40"/>
      <c r="CG486" s="40"/>
      <c r="CH486" s="40"/>
      <c r="CI486" s="40"/>
      <c r="CJ486" s="40"/>
      <c r="CK486" s="40"/>
      <c r="CL486" s="40"/>
      <c r="CM486" s="40"/>
      <c r="CN486" s="40"/>
      <c r="CO486" s="40"/>
      <c r="CP486" s="40"/>
      <c r="CQ486" s="40"/>
      <c r="CR486" s="40"/>
      <c r="CS486" s="40"/>
    </row>
    <row r="487" spans="1:97">
      <c r="A487" s="397"/>
      <c r="B487" s="397"/>
      <c r="C487" s="397"/>
      <c r="D487" s="397"/>
      <c r="E487" s="397"/>
      <c r="F487" s="397"/>
      <c r="G487" s="180"/>
      <c r="H487" s="46"/>
      <c r="I487" s="53"/>
      <c r="J487" s="53"/>
      <c r="K487" s="192"/>
      <c r="L487" s="192"/>
      <c r="M487" s="192"/>
      <c r="N487" s="192"/>
      <c r="O487" s="192"/>
      <c r="P487" s="192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  <c r="AI487" s="40"/>
      <c r="AJ487" s="40"/>
      <c r="AK487" s="40"/>
      <c r="AL487" s="40"/>
      <c r="AM487" s="40"/>
      <c r="AN487" s="40"/>
      <c r="AO487" s="40"/>
      <c r="AP487" s="40"/>
      <c r="AQ487" s="40"/>
      <c r="AR487" s="40"/>
      <c r="AS487" s="40"/>
      <c r="AT487" s="40"/>
      <c r="AU487" s="40"/>
      <c r="AV487" s="40"/>
      <c r="AW487" s="40"/>
      <c r="AX487" s="40"/>
      <c r="AY487" s="40"/>
      <c r="AZ487" s="40"/>
      <c r="BA487" s="40"/>
      <c r="BB487" s="40"/>
      <c r="BC487" s="40"/>
      <c r="BD487" s="40"/>
      <c r="BE487" s="40"/>
      <c r="BF487" s="40"/>
      <c r="BG487" s="40"/>
      <c r="BH487" s="40"/>
      <c r="BI487" s="40"/>
      <c r="BJ487" s="40"/>
      <c r="BK487" s="40"/>
      <c r="BL487" s="40"/>
      <c r="BM487" s="40"/>
      <c r="BN487" s="40"/>
      <c r="BO487" s="40"/>
      <c r="BP487" s="40"/>
      <c r="BQ487" s="40"/>
      <c r="BR487" s="40"/>
      <c r="BS487" s="40"/>
      <c r="BT487" s="40"/>
      <c r="BU487" s="40"/>
      <c r="BV487" s="40"/>
      <c r="BW487" s="40"/>
      <c r="BX487" s="40"/>
      <c r="BY487" s="40"/>
      <c r="BZ487" s="40"/>
      <c r="CA487" s="40"/>
      <c r="CB487" s="40"/>
      <c r="CC487" s="40"/>
      <c r="CD487" s="40"/>
      <c r="CE487" s="40"/>
      <c r="CF487" s="40"/>
      <c r="CG487" s="40"/>
      <c r="CH487" s="40"/>
      <c r="CI487" s="40"/>
      <c r="CJ487" s="40"/>
      <c r="CK487" s="40"/>
      <c r="CL487" s="40"/>
      <c r="CM487" s="40"/>
      <c r="CN487" s="40"/>
      <c r="CO487" s="40"/>
      <c r="CP487" s="40"/>
      <c r="CQ487" s="40"/>
      <c r="CR487" s="40"/>
      <c r="CS487" s="40"/>
    </row>
    <row r="488" spans="1:97">
      <c r="A488" s="397"/>
      <c r="B488" s="397"/>
      <c r="C488" s="397"/>
      <c r="D488" s="397"/>
      <c r="E488" s="397"/>
      <c r="F488" s="397"/>
      <c r="G488" s="180"/>
      <c r="H488" s="46"/>
      <c r="I488" s="53"/>
      <c r="J488" s="53"/>
      <c r="K488" s="192"/>
      <c r="L488" s="192"/>
      <c r="M488" s="192"/>
      <c r="N488" s="192"/>
      <c r="O488" s="192"/>
      <c r="P488" s="192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  <c r="AK488" s="40"/>
      <c r="AL488" s="40"/>
      <c r="AM488" s="40"/>
      <c r="AN488" s="40"/>
      <c r="AO488" s="40"/>
      <c r="AP488" s="40"/>
      <c r="AQ488" s="40"/>
      <c r="AR488" s="40"/>
      <c r="AS488" s="40"/>
      <c r="AT488" s="40"/>
      <c r="AU488" s="40"/>
      <c r="AV488" s="40"/>
      <c r="AW488" s="40"/>
      <c r="AX488" s="40"/>
      <c r="AY488" s="40"/>
      <c r="AZ488" s="40"/>
      <c r="BA488" s="40"/>
      <c r="BB488" s="40"/>
      <c r="BC488" s="40"/>
      <c r="BD488" s="40"/>
      <c r="BE488" s="40"/>
      <c r="BF488" s="40"/>
      <c r="BG488" s="40"/>
      <c r="BH488" s="40"/>
      <c r="BI488" s="40"/>
      <c r="BJ488" s="40"/>
      <c r="BK488" s="40"/>
      <c r="BL488" s="40"/>
      <c r="BM488" s="40"/>
      <c r="BN488" s="40"/>
      <c r="BO488" s="40"/>
      <c r="BP488" s="40"/>
      <c r="BQ488" s="40"/>
      <c r="BR488" s="40"/>
      <c r="BS488" s="40"/>
      <c r="BT488" s="40"/>
      <c r="BU488" s="40"/>
      <c r="BV488" s="40"/>
      <c r="BW488" s="40"/>
      <c r="BX488" s="40"/>
      <c r="BY488" s="40"/>
      <c r="BZ488" s="40"/>
      <c r="CA488" s="40"/>
      <c r="CB488" s="40"/>
      <c r="CC488" s="40"/>
      <c r="CD488" s="40"/>
      <c r="CE488" s="40"/>
      <c r="CF488" s="40"/>
      <c r="CG488" s="40"/>
      <c r="CH488" s="40"/>
      <c r="CI488" s="40"/>
      <c r="CJ488" s="40"/>
      <c r="CK488" s="40"/>
      <c r="CL488" s="40"/>
      <c r="CM488" s="40"/>
      <c r="CN488" s="40"/>
      <c r="CO488" s="40"/>
      <c r="CP488" s="40"/>
      <c r="CQ488" s="40"/>
      <c r="CR488" s="40"/>
      <c r="CS488" s="40"/>
    </row>
    <row r="489" spans="1:97">
      <c r="A489" s="397"/>
      <c r="B489" s="397"/>
      <c r="C489" s="397"/>
      <c r="D489" s="397"/>
      <c r="E489" s="397"/>
      <c r="F489" s="397"/>
      <c r="G489" s="180"/>
      <c r="H489" s="46"/>
      <c r="I489" s="53"/>
      <c r="J489" s="53"/>
      <c r="K489" s="192"/>
      <c r="L489" s="192"/>
      <c r="M489" s="192"/>
      <c r="N489" s="192"/>
      <c r="O489" s="192"/>
      <c r="P489" s="192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  <c r="AJ489" s="40"/>
      <c r="AK489" s="40"/>
      <c r="AL489" s="40"/>
      <c r="AM489" s="40"/>
      <c r="AN489" s="40"/>
      <c r="AO489" s="40"/>
      <c r="AP489" s="40"/>
      <c r="AQ489" s="40"/>
      <c r="AR489" s="40"/>
      <c r="AS489" s="40"/>
      <c r="AT489" s="40"/>
      <c r="AU489" s="40"/>
      <c r="AV489" s="40"/>
      <c r="AW489" s="40"/>
      <c r="AX489" s="40"/>
      <c r="AY489" s="40"/>
      <c r="AZ489" s="40"/>
      <c r="BA489" s="40"/>
      <c r="BB489" s="40"/>
      <c r="BC489" s="40"/>
      <c r="BD489" s="40"/>
      <c r="BE489" s="40"/>
      <c r="BF489" s="40"/>
      <c r="BG489" s="40"/>
      <c r="BH489" s="40"/>
      <c r="BI489" s="40"/>
      <c r="BJ489" s="40"/>
      <c r="BK489" s="40"/>
      <c r="BL489" s="40"/>
      <c r="BM489" s="40"/>
      <c r="BN489" s="40"/>
      <c r="BO489" s="40"/>
      <c r="BP489" s="40"/>
      <c r="BQ489" s="40"/>
      <c r="BR489" s="40"/>
      <c r="BS489" s="40"/>
      <c r="BT489" s="40"/>
      <c r="BU489" s="40"/>
      <c r="BV489" s="40"/>
      <c r="BW489" s="40"/>
      <c r="BX489" s="40"/>
      <c r="BY489" s="40"/>
      <c r="BZ489" s="40"/>
      <c r="CA489" s="40"/>
      <c r="CB489" s="40"/>
      <c r="CC489" s="40"/>
      <c r="CD489" s="40"/>
      <c r="CE489" s="40"/>
      <c r="CF489" s="40"/>
      <c r="CG489" s="40"/>
      <c r="CH489" s="40"/>
      <c r="CI489" s="40"/>
      <c r="CJ489" s="40"/>
      <c r="CK489" s="40"/>
      <c r="CL489" s="40"/>
      <c r="CM489" s="40"/>
      <c r="CN489" s="40"/>
      <c r="CO489" s="40"/>
      <c r="CP489" s="40"/>
      <c r="CQ489" s="40"/>
      <c r="CR489" s="40"/>
      <c r="CS489" s="40"/>
    </row>
    <row r="490" spans="1:97">
      <c r="A490" s="397"/>
      <c r="B490" s="397"/>
      <c r="C490" s="397"/>
      <c r="D490" s="397"/>
      <c r="E490" s="397"/>
      <c r="F490" s="397"/>
      <c r="G490" s="180"/>
      <c r="H490" s="46"/>
      <c r="I490" s="53"/>
      <c r="J490" s="53"/>
      <c r="K490" s="192"/>
      <c r="L490" s="192"/>
      <c r="M490" s="192"/>
      <c r="N490" s="192"/>
      <c r="O490" s="192"/>
      <c r="P490" s="192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0"/>
      <c r="AK490" s="40"/>
      <c r="AL490" s="40"/>
      <c r="AM490" s="40"/>
      <c r="AN490" s="40"/>
      <c r="AO490" s="40"/>
      <c r="AP490" s="40"/>
      <c r="AQ490" s="40"/>
      <c r="AR490" s="40"/>
      <c r="AS490" s="40"/>
      <c r="AT490" s="40"/>
      <c r="AU490" s="40"/>
      <c r="AV490" s="40"/>
      <c r="AW490" s="40"/>
      <c r="AX490" s="40"/>
      <c r="AY490" s="40"/>
      <c r="AZ490" s="40"/>
      <c r="BA490" s="40"/>
      <c r="BB490" s="40"/>
      <c r="BC490" s="40"/>
      <c r="BD490" s="40"/>
      <c r="BE490" s="40"/>
      <c r="BF490" s="40"/>
      <c r="BG490" s="40"/>
      <c r="BH490" s="40"/>
      <c r="BI490" s="40"/>
      <c r="BJ490" s="40"/>
      <c r="BK490" s="40"/>
      <c r="BL490" s="40"/>
      <c r="BM490" s="40"/>
      <c r="BN490" s="40"/>
      <c r="BO490" s="40"/>
      <c r="BP490" s="40"/>
      <c r="BQ490" s="40"/>
      <c r="BR490" s="40"/>
      <c r="BS490" s="40"/>
      <c r="BT490" s="40"/>
      <c r="BU490" s="40"/>
      <c r="BV490" s="40"/>
      <c r="BW490" s="40"/>
      <c r="BX490" s="40"/>
      <c r="BY490" s="40"/>
      <c r="BZ490" s="40"/>
      <c r="CA490" s="40"/>
      <c r="CB490" s="40"/>
      <c r="CC490" s="40"/>
      <c r="CD490" s="40"/>
      <c r="CE490" s="40"/>
      <c r="CF490" s="40"/>
      <c r="CG490" s="40"/>
      <c r="CH490" s="40"/>
      <c r="CI490" s="40"/>
      <c r="CJ490" s="40"/>
      <c r="CK490" s="40"/>
      <c r="CL490" s="40"/>
      <c r="CM490" s="40"/>
      <c r="CN490" s="40"/>
      <c r="CO490" s="40"/>
      <c r="CP490" s="40"/>
      <c r="CQ490" s="40"/>
      <c r="CR490" s="40"/>
      <c r="CS490" s="40"/>
    </row>
    <row r="491" spans="1:97">
      <c r="A491" s="397"/>
      <c r="B491" s="397"/>
      <c r="C491" s="397"/>
      <c r="D491" s="397"/>
      <c r="E491" s="397"/>
      <c r="F491" s="397"/>
      <c r="G491" s="180"/>
      <c r="H491" s="46"/>
      <c r="I491" s="53"/>
      <c r="J491" s="53"/>
      <c r="K491" s="192"/>
      <c r="L491" s="192"/>
      <c r="M491" s="192"/>
      <c r="N491" s="192"/>
      <c r="O491" s="192"/>
      <c r="P491" s="192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0"/>
      <c r="AK491" s="40"/>
      <c r="AL491" s="40"/>
      <c r="AM491" s="40"/>
      <c r="AN491" s="40"/>
      <c r="AO491" s="40"/>
      <c r="AP491" s="40"/>
      <c r="AQ491" s="40"/>
      <c r="AR491" s="40"/>
      <c r="AS491" s="40"/>
      <c r="AT491" s="40"/>
      <c r="AU491" s="40"/>
      <c r="AV491" s="40"/>
      <c r="AW491" s="40"/>
      <c r="AX491" s="40"/>
      <c r="AY491" s="40"/>
      <c r="AZ491" s="40"/>
      <c r="BA491" s="40"/>
      <c r="BB491" s="40"/>
      <c r="BC491" s="40"/>
      <c r="BD491" s="40"/>
      <c r="BE491" s="40"/>
      <c r="BF491" s="40"/>
      <c r="BG491" s="40"/>
      <c r="BH491" s="40"/>
      <c r="BI491" s="40"/>
      <c r="BJ491" s="40"/>
      <c r="BK491" s="40"/>
      <c r="BL491" s="40"/>
      <c r="BM491" s="40"/>
      <c r="BN491" s="40"/>
      <c r="BO491" s="40"/>
      <c r="BP491" s="40"/>
      <c r="BQ491" s="40"/>
      <c r="BR491" s="40"/>
      <c r="BS491" s="40"/>
      <c r="BT491" s="40"/>
      <c r="BU491" s="40"/>
      <c r="BV491" s="40"/>
      <c r="BW491" s="40"/>
      <c r="BX491" s="40"/>
      <c r="BY491" s="40"/>
      <c r="BZ491" s="40"/>
      <c r="CA491" s="40"/>
      <c r="CB491" s="40"/>
      <c r="CC491" s="40"/>
      <c r="CD491" s="40"/>
      <c r="CE491" s="40"/>
      <c r="CF491" s="40"/>
      <c r="CG491" s="40"/>
      <c r="CH491" s="40"/>
      <c r="CI491" s="40"/>
      <c r="CJ491" s="40"/>
      <c r="CK491" s="40"/>
      <c r="CL491" s="40"/>
      <c r="CM491" s="40"/>
      <c r="CN491" s="40"/>
      <c r="CO491" s="40"/>
      <c r="CP491" s="40"/>
      <c r="CQ491" s="40"/>
      <c r="CR491" s="40"/>
      <c r="CS491" s="40"/>
    </row>
    <row r="492" spans="1:97">
      <c r="A492" s="397"/>
      <c r="B492" s="397"/>
      <c r="C492" s="397"/>
      <c r="D492" s="397"/>
      <c r="E492" s="397"/>
      <c r="F492" s="397"/>
      <c r="G492" s="180"/>
      <c r="H492" s="46"/>
      <c r="I492" s="53"/>
      <c r="J492" s="53"/>
      <c r="K492" s="192"/>
      <c r="L492" s="192"/>
      <c r="M492" s="192"/>
      <c r="N492" s="192"/>
      <c r="O492" s="192"/>
      <c r="P492" s="192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0"/>
      <c r="AK492" s="40"/>
      <c r="AL492" s="40"/>
      <c r="AM492" s="40"/>
      <c r="AN492" s="40"/>
      <c r="AO492" s="40"/>
      <c r="AP492" s="40"/>
      <c r="AQ492" s="40"/>
      <c r="AR492" s="40"/>
      <c r="AS492" s="40"/>
      <c r="AT492" s="40"/>
      <c r="AU492" s="40"/>
      <c r="AV492" s="40"/>
      <c r="AW492" s="40"/>
      <c r="AX492" s="40"/>
      <c r="AY492" s="40"/>
      <c r="AZ492" s="40"/>
      <c r="BA492" s="40"/>
      <c r="BB492" s="40"/>
      <c r="BC492" s="40"/>
      <c r="BD492" s="40"/>
      <c r="BE492" s="40"/>
      <c r="BF492" s="40"/>
      <c r="BG492" s="40"/>
      <c r="BH492" s="40"/>
      <c r="BI492" s="40"/>
      <c r="BJ492" s="40"/>
      <c r="BK492" s="40"/>
      <c r="BL492" s="40"/>
      <c r="BM492" s="40"/>
      <c r="BN492" s="40"/>
      <c r="BO492" s="40"/>
      <c r="BP492" s="40"/>
      <c r="BQ492" s="40"/>
      <c r="BR492" s="40"/>
      <c r="BS492" s="40"/>
      <c r="BT492" s="40"/>
      <c r="BU492" s="40"/>
      <c r="BV492" s="40"/>
      <c r="BW492" s="40"/>
      <c r="BX492" s="40"/>
      <c r="BY492" s="40"/>
      <c r="BZ492" s="40"/>
      <c r="CA492" s="40"/>
      <c r="CB492" s="40"/>
      <c r="CC492" s="40"/>
      <c r="CD492" s="40"/>
      <c r="CE492" s="40"/>
      <c r="CF492" s="40"/>
      <c r="CG492" s="40"/>
      <c r="CH492" s="40"/>
      <c r="CI492" s="40"/>
      <c r="CJ492" s="40"/>
      <c r="CK492" s="40"/>
      <c r="CL492" s="40"/>
      <c r="CM492" s="40"/>
      <c r="CN492" s="40"/>
      <c r="CO492" s="40"/>
      <c r="CP492" s="40"/>
      <c r="CQ492" s="40"/>
      <c r="CR492" s="40"/>
      <c r="CS492" s="40"/>
    </row>
    <row r="493" spans="1:97">
      <c r="A493" s="397"/>
      <c r="B493" s="397"/>
      <c r="C493" s="397"/>
      <c r="D493" s="397"/>
      <c r="E493" s="397"/>
      <c r="F493" s="397"/>
      <c r="G493" s="180"/>
      <c r="H493" s="46"/>
      <c r="I493" s="53"/>
      <c r="J493" s="53"/>
      <c r="K493" s="192"/>
      <c r="L493" s="192"/>
      <c r="M493" s="192"/>
      <c r="N493" s="192"/>
      <c r="O493" s="192"/>
      <c r="P493" s="192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  <c r="AI493" s="40"/>
      <c r="AJ493" s="40"/>
      <c r="AK493" s="40"/>
      <c r="AL493" s="40"/>
      <c r="AM493" s="40"/>
      <c r="AN493" s="40"/>
      <c r="AO493" s="40"/>
      <c r="AP493" s="40"/>
      <c r="AQ493" s="40"/>
      <c r="AR493" s="40"/>
      <c r="AS493" s="40"/>
      <c r="AT493" s="40"/>
      <c r="AU493" s="40"/>
      <c r="AV493" s="40"/>
      <c r="AW493" s="40"/>
      <c r="AX493" s="40"/>
      <c r="AY493" s="40"/>
      <c r="AZ493" s="40"/>
      <c r="BA493" s="40"/>
      <c r="BB493" s="40"/>
      <c r="BC493" s="40"/>
      <c r="BD493" s="40"/>
      <c r="BE493" s="40"/>
      <c r="BF493" s="40"/>
      <c r="BG493" s="40"/>
      <c r="BH493" s="40"/>
      <c r="BI493" s="40"/>
      <c r="BJ493" s="40"/>
      <c r="BK493" s="40"/>
      <c r="BL493" s="40"/>
      <c r="BM493" s="40"/>
      <c r="BN493" s="40"/>
      <c r="BO493" s="40"/>
      <c r="BP493" s="40"/>
      <c r="BQ493" s="40"/>
      <c r="BR493" s="40"/>
      <c r="BS493" s="40"/>
      <c r="BT493" s="40"/>
      <c r="BU493" s="40"/>
      <c r="BV493" s="40"/>
      <c r="BW493" s="40"/>
      <c r="BX493" s="40"/>
      <c r="BY493" s="40"/>
      <c r="BZ493" s="40"/>
      <c r="CA493" s="40"/>
      <c r="CB493" s="40"/>
      <c r="CC493" s="40"/>
      <c r="CD493" s="40"/>
      <c r="CE493" s="40"/>
      <c r="CF493" s="40"/>
      <c r="CG493" s="40"/>
      <c r="CH493" s="40"/>
      <c r="CI493" s="40"/>
      <c r="CJ493" s="40"/>
      <c r="CK493" s="40"/>
      <c r="CL493" s="40"/>
      <c r="CM493" s="40"/>
      <c r="CN493" s="40"/>
      <c r="CO493" s="40"/>
      <c r="CP493" s="40"/>
      <c r="CQ493" s="40"/>
      <c r="CR493" s="40"/>
      <c r="CS493" s="40"/>
    </row>
    <row r="494" spans="1:97">
      <c r="A494" s="397"/>
      <c r="B494" s="397"/>
      <c r="C494" s="397"/>
      <c r="D494" s="397"/>
      <c r="E494" s="397"/>
      <c r="F494" s="397"/>
      <c r="G494" s="180"/>
      <c r="H494" s="46"/>
      <c r="I494" s="53"/>
      <c r="J494" s="53"/>
      <c r="K494" s="192"/>
      <c r="L494" s="192"/>
      <c r="M494" s="192"/>
      <c r="N494" s="192"/>
      <c r="O494" s="192"/>
      <c r="P494" s="192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  <c r="AI494" s="40"/>
      <c r="AJ494" s="40"/>
      <c r="AK494" s="40"/>
      <c r="AL494" s="40"/>
      <c r="AM494" s="40"/>
      <c r="AN494" s="40"/>
      <c r="AO494" s="40"/>
      <c r="AP494" s="40"/>
      <c r="AQ494" s="40"/>
      <c r="AR494" s="40"/>
      <c r="AS494" s="40"/>
      <c r="AT494" s="40"/>
      <c r="AU494" s="40"/>
      <c r="AV494" s="40"/>
      <c r="AW494" s="40"/>
      <c r="AX494" s="40"/>
      <c r="AY494" s="40"/>
      <c r="AZ494" s="40"/>
      <c r="BA494" s="40"/>
      <c r="BB494" s="40"/>
      <c r="BC494" s="40"/>
      <c r="BD494" s="40"/>
      <c r="BE494" s="40"/>
      <c r="BF494" s="40"/>
      <c r="BG494" s="40"/>
      <c r="BH494" s="40"/>
      <c r="BI494" s="40"/>
      <c r="BJ494" s="40"/>
      <c r="BK494" s="40"/>
      <c r="BL494" s="40"/>
      <c r="BM494" s="40"/>
      <c r="BN494" s="40"/>
      <c r="BO494" s="40"/>
      <c r="BP494" s="40"/>
      <c r="BQ494" s="40"/>
      <c r="BR494" s="40"/>
      <c r="BS494" s="40"/>
      <c r="BT494" s="40"/>
      <c r="BU494" s="40"/>
      <c r="BV494" s="40"/>
      <c r="BW494" s="40"/>
      <c r="BX494" s="40"/>
      <c r="BY494" s="40"/>
      <c r="BZ494" s="40"/>
      <c r="CA494" s="40"/>
      <c r="CB494" s="40"/>
      <c r="CC494" s="40"/>
      <c r="CD494" s="40"/>
      <c r="CE494" s="40"/>
      <c r="CF494" s="40"/>
      <c r="CG494" s="40"/>
      <c r="CH494" s="40"/>
      <c r="CI494" s="40"/>
      <c r="CJ494" s="40"/>
      <c r="CK494" s="40"/>
      <c r="CL494" s="40"/>
      <c r="CM494" s="40"/>
      <c r="CN494" s="40"/>
      <c r="CO494" s="40"/>
      <c r="CP494" s="40"/>
      <c r="CQ494" s="40"/>
      <c r="CR494" s="40"/>
      <c r="CS494" s="40"/>
    </row>
    <row r="495" spans="1:97">
      <c r="A495" s="397"/>
      <c r="B495" s="397"/>
      <c r="C495" s="397"/>
      <c r="D495" s="397"/>
      <c r="E495" s="397"/>
      <c r="F495" s="397"/>
      <c r="G495" s="180"/>
      <c r="H495" s="46"/>
      <c r="I495" s="53"/>
      <c r="J495" s="53"/>
      <c r="K495" s="192"/>
      <c r="L495" s="192"/>
      <c r="M495" s="192"/>
      <c r="N495" s="192"/>
      <c r="O495" s="192"/>
      <c r="P495" s="192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0"/>
      <c r="AK495" s="40"/>
      <c r="AL495" s="40"/>
      <c r="AM495" s="40"/>
      <c r="AN495" s="40"/>
      <c r="AO495" s="40"/>
      <c r="AP495" s="40"/>
      <c r="AQ495" s="40"/>
      <c r="AR495" s="40"/>
      <c r="AS495" s="40"/>
      <c r="AT495" s="40"/>
      <c r="AU495" s="40"/>
      <c r="AV495" s="40"/>
      <c r="AW495" s="40"/>
      <c r="AX495" s="40"/>
      <c r="AY495" s="40"/>
      <c r="AZ495" s="40"/>
      <c r="BA495" s="40"/>
      <c r="BB495" s="40"/>
      <c r="BC495" s="40"/>
      <c r="BD495" s="40"/>
      <c r="BE495" s="40"/>
      <c r="BF495" s="40"/>
      <c r="BG495" s="40"/>
      <c r="BH495" s="40"/>
      <c r="BI495" s="40"/>
      <c r="BJ495" s="40"/>
      <c r="BK495" s="40"/>
      <c r="BL495" s="40"/>
      <c r="BM495" s="40"/>
      <c r="BN495" s="40"/>
      <c r="BO495" s="40"/>
      <c r="BP495" s="40"/>
      <c r="BQ495" s="40"/>
      <c r="BR495" s="40"/>
      <c r="BS495" s="40"/>
      <c r="BT495" s="40"/>
      <c r="BU495" s="40"/>
      <c r="BV495" s="40"/>
      <c r="BW495" s="40"/>
      <c r="BX495" s="40"/>
      <c r="BY495" s="40"/>
      <c r="BZ495" s="40"/>
      <c r="CA495" s="40"/>
      <c r="CB495" s="40"/>
      <c r="CC495" s="40"/>
      <c r="CD495" s="40"/>
      <c r="CE495" s="40"/>
      <c r="CF495" s="40"/>
      <c r="CG495" s="40"/>
      <c r="CH495" s="40"/>
      <c r="CI495" s="40"/>
      <c r="CJ495" s="40"/>
      <c r="CK495" s="40"/>
      <c r="CL495" s="40"/>
      <c r="CM495" s="40"/>
      <c r="CN495" s="40"/>
      <c r="CO495" s="40"/>
      <c r="CP495" s="40"/>
      <c r="CQ495" s="40"/>
      <c r="CR495" s="40"/>
      <c r="CS495" s="40"/>
    </row>
    <row r="496" spans="1:97">
      <c r="A496" s="397"/>
      <c r="B496" s="397"/>
      <c r="C496" s="397"/>
      <c r="D496" s="397"/>
      <c r="E496" s="397"/>
      <c r="F496" s="397"/>
      <c r="G496" s="180"/>
      <c r="H496" s="46"/>
      <c r="I496" s="53"/>
      <c r="J496" s="53"/>
      <c r="K496" s="192"/>
      <c r="L496" s="192"/>
      <c r="M496" s="192"/>
      <c r="N496" s="192"/>
      <c r="O496" s="192"/>
      <c r="P496" s="192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  <c r="AM496" s="40"/>
      <c r="AN496" s="40"/>
      <c r="AO496" s="40"/>
      <c r="AP496" s="40"/>
      <c r="AQ496" s="40"/>
      <c r="AR496" s="40"/>
      <c r="AS496" s="40"/>
      <c r="AT496" s="40"/>
      <c r="AU496" s="40"/>
      <c r="AV496" s="40"/>
      <c r="AW496" s="40"/>
      <c r="AX496" s="40"/>
      <c r="AY496" s="40"/>
      <c r="AZ496" s="40"/>
      <c r="BA496" s="40"/>
      <c r="BB496" s="40"/>
      <c r="BC496" s="40"/>
      <c r="BD496" s="40"/>
      <c r="BE496" s="40"/>
      <c r="BF496" s="40"/>
      <c r="BG496" s="40"/>
      <c r="BH496" s="40"/>
      <c r="BI496" s="40"/>
      <c r="BJ496" s="40"/>
      <c r="BK496" s="40"/>
      <c r="BL496" s="40"/>
      <c r="BM496" s="40"/>
      <c r="BN496" s="40"/>
      <c r="BO496" s="40"/>
      <c r="BP496" s="40"/>
      <c r="BQ496" s="40"/>
      <c r="BR496" s="40"/>
      <c r="BS496" s="40"/>
      <c r="BT496" s="40"/>
      <c r="BU496" s="40"/>
      <c r="BV496" s="40"/>
      <c r="BW496" s="40"/>
      <c r="BX496" s="40"/>
      <c r="BY496" s="40"/>
      <c r="BZ496" s="40"/>
      <c r="CA496" s="40"/>
      <c r="CB496" s="40"/>
      <c r="CC496" s="40"/>
      <c r="CD496" s="40"/>
      <c r="CE496" s="40"/>
      <c r="CF496" s="40"/>
      <c r="CG496" s="40"/>
      <c r="CH496" s="40"/>
      <c r="CI496" s="40"/>
      <c r="CJ496" s="40"/>
      <c r="CK496" s="40"/>
      <c r="CL496" s="40"/>
      <c r="CM496" s="40"/>
      <c r="CN496" s="40"/>
      <c r="CO496" s="40"/>
      <c r="CP496" s="40"/>
      <c r="CQ496" s="40"/>
      <c r="CR496" s="40"/>
      <c r="CS496" s="40"/>
    </row>
    <row r="497" spans="1:97">
      <c r="A497" s="397"/>
      <c r="B497" s="397"/>
      <c r="C497" s="397"/>
      <c r="D497" s="397"/>
      <c r="E497" s="397"/>
      <c r="F497" s="397"/>
      <c r="G497" s="180"/>
      <c r="H497" s="46"/>
      <c r="I497" s="53"/>
      <c r="J497" s="53"/>
      <c r="K497" s="192"/>
      <c r="L497" s="192"/>
      <c r="M497" s="192"/>
      <c r="N497" s="192"/>
      <c r="O497" s="192"/>
      <c r="P497" s="192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0"/>
      <c r="AK497" s="40"/>
      <c r="AL497" s="40"/>
      <c r="AM497" s="40"/>
      <c r="AN497" s="40"/>
      <c r="AO497" s="40"/>
      <c r="AP497" s="40"/>
      <c r="AQ497" s="40"/>
      <c r="AR497" s="40"/>
      <c r="AS497" s="40"/>
      <c r="AT497" s="40"/>
      <c r="AU497" s="40"/>
      <c r="AV497" s="40"/>
      <c r="AW497" s="40"/>
      <c r="AX497" s="40"/>
      <c r="AY497" s="40"/>
      <c r="AZ497" s="40"/>
      <c r="BA497" s="40"/>
      <c r="BB497" s="40"/>
      <c r="BC497" s="40"/>
      <c r="BD497" s="40"/>
      <c r="BE497" s="40"/>
      <c r="BF497" s="40"/>
      <c r="BG497" s="40"/>
      <c r="BH497" s="40"/>
      <c r="BI497" s="40"/>
      <c r="BJ497" s="40"/>
      <c r="BK497" s="40"/>
      <c r="BL497" s="40"/>
      <c r="BM497" s="40"/>
      <c r="BN497" s="40"/>
      <c r="BO497" s="40"/>
      <c r="BP497" s="40"/>
      <c r="BQ497" s="40"/>
      <c r="BR497" s="40"/>
      <c r="BS497" s="40"/>
      <c r="BT497" s="40"/>
      <c r="BU497" s="40"/>
      <c r="BV497" s="40"/>
      <c r="BW497" s="40"/>
      <c r="BX497" s="40"/>
      <c r="BY497" s="40"/>
      <c r="BZ497" s="40"/>
      <c r="CA497" s="40"/>
      <c r="CB497" s="40"/>
      <c r="CC497" s="40"/>
      <c r="CD497" s="40"/>
      <c r="CE497" s="40"/>
      <c r="CF497" s="40"/>
      <c r="CG497" s="40"/>
      <c r="CH497" s="40"/>
      <c r="CI497" s="40"/>
      <c r="CJ497" s="40"/>
      <c r="CK497" s="40"/>
      <c r="CL497" s="40"/>
      <c r="CM497" s="40"/>
      <c r="CN497" s="40"/>
      <c r="CO497" s="40"/>
      <c r="CP497" s="40"/>
      <c r="CQ497" s="40"/>
      <c r="CR497" s="40"/>
      <c r="CS497" s="40"/>
    </row>
    <row r="498" spans="1:97">
      <c r="A498" s="397"/>
      <c r="B498" s="397"/>
      <c r="C498" s="397"/>
      <c r="D498" s="397"/>
      <c r="E498" s="397"/>
      <c r="F498" s="397"/>
      <c r="G498" s="180"/>
      <c r="H498" s="46"/>
      <c r="I498" s="53"/>
      <c r="J498" s="53"/>
      <c r="K498" s="192"/>
      <c r="L498" s="192"/>
      <c r="M498" s="192"/>
      <c r="N498" s="192"/>
      <c r="O498" s="192"/>
      <c r="P498" s="192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40"/>
      <c r="AP498" s="40"/>
      <c r="AQ498" s="40"/>
      <c r="AR498" s="40"/>
      <c r="AS498" s="40"/>
      <c r="AT498" s="40"/>
      <c r="AU498" s="40"/>
      <c r="AV498" s="40"/>
      <c r="AW498" s="40"/>
      <c r="AX498" s="40"/>
      <c r="AY498" s="40"/>
      <c r="AZ498" s="40"/>
      <c r="BA498" s="40"/>
      <c r="BB498" s="40"/>
      <c r="BC498" s="40"/>
      <c r="BD498" s="40"/>
      <c r="BE498" s="40"/>
      <c r="BF498" s="40"/>
      <c r="BG498" s="40"/>
      <c r="BH498" s="40"/>
      <c r="BI498" s="40"/>
      <c r="BJ498" s="40"/>
      <c r="BK498" s="40"/>
      <c r="BL498" s="40"/>
      <c r="BM498" s="40"/>
      <c r="BN498" s="40"/>
      <c r="BO498" s="40"/>
      <c r="BP498" s="40"/>
      <c r="BQ498" s="40"/>
      <c r="BR498" s="40"/>
      <c r="BS498" s="40"/>
      <c r="BT498" s="40"/>
      <c r="BU498" s="40"/>
      <c r="BV498" s="40"/>
      <c r="BW498" s="40"/>
      <c r="BX498" s="40"/>
      <c r="BY498" s="40"/>
      <c r="BZ498" s="40"/>
      <c r="CA498" s="40"/>
      <c r="CB498" s="40"/>
      <c r="CC498" s="40"/>
      <c r="CD498" s="40"/>
      <c r="CE498" s="40"/>
      <c r="CF498" s="40"/>
      <c r="CG498" s="40"/>
      <c r="CH498" s="40"/>
      <c r="CI498" s="40"/>
      <c r="CJ498" s="40"/>
      <c r="CK498" s="40"/>
      <c r="CL498" s="40"/>
      <c r="CM498" s="40"/>
      <c r="CN498" s="40"/>
      <c r="CO498" s="40"/>
      <c r="CP498" s="40"/>
      <c r="CQ498" s="40"/>
      <c r="CR498" s="40"/>
      <c r="CS498" s="40"/>
    </row>
    <row r="499" spans="1:97">
      <c r="A499" s="397"/>
      <c r="B499" s="397"/>
      <c r="C499" s="397"/>
      <c r="D499" s="397"/>
      <c r="E499" s="397"/>
      <c r="F499" s="397"/>
      <c r="G499" s="180"/>
      <c r="H499" s="46"/>
      <c r="I499" s="53"/>
      <c r="J499" s="53"/>
      <c r="K499" s="192"/>
      <c r="L499" s="192"/>
      <c r="M499" s="192"/>
      <c r="N499" s="192"/>
      <c r="O499" s="192"/>
      <c r="P499" s="192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  <c r="AJ499" s="40"/>
      <c r="AK499" s="40"/>
      <c r="AL499" s="40"/>
      <c r="AM499" s="40"/>
      <c r="AN499" s="40"/>
      <c r="AO499" s="40"/>
      <c r="AP499" s="40"/>
      <c r="AQ499" s="40"/>
      <c r="AR499" s="40"/>
      <c r="AS499" s="40"/>
      <c r="AT499" s="40"/>
      <c r="AU499" s="40"/>
      <c r="AV499" s="40"/>
      <c r="AW499" s="40"/>
      <c r="AX499" s="40"/>
      <c r="AY499" s="40"/>
      <c r="AZ499" s="40"/>
      <c r="BA499" s="40"/>
      <c r="BB499" s="40"/>
      <c r="BC499" s="40"/>
      <c r="BD499" s="40"/>
      <c r="BE499" s="40"/>
      <c r="BF499" s="40"/>
      <c r="BG499" s="40"/>
      <c r="BH499" s="40"/>
      <c r="BI499" s="40"/>
      <c r="BJ499" s="40"/>
      <c r="BK499" s="40"/>
      <c r="BL499" s="40"/>
      <c r="BM499" s="40"/>
      <c r="BN499" s="40"/>
      <c r="BO499" s="40"/>
      <c r="BP499" s="40"/>
      <c r="BQ499" s="40"/>
      <c r="BR499" s="40"/>
      <c r="BS499" s="40"/>
      <c r="BT499" s="40"/>
      <c r="BU499" s="40"/>
      <c r="BV499" s="40"/>
      <c r="BW499" s="40"/>
      <c r="BX499" s="40"/>
      <c r="BY499" s="40"/>
      <c r="BZ499" s="40"/>
      <c r="CA499" s="40"/>
      <c r="CB499" s="40"/>
      <c r="CC499" s="40"/>
      <c r="CD499" s="40"/>
      <c r="CE499" s="40"/>
      <c r="CF499" s="40"/>
      <c r="CG499" s="40"/>
      <c r="CH499" s="40"/>
      <c r="CI499" s="40"/>
      <c r="CJ499" s="40"/>
      <c r="CK499" s="40"/>
      <c r="CL499" s="40"/>
      <c r="CM499" s="40"/>
      <c r="CN499" s="40"/>
      <c r="CO499" s="40"/>
      <c r="CP499" s="40"/>
      <c r="CQ499" s="40"/>
      <c r="CR499" s="40"/>
      <c r="CS499" s="40"/>
    </row>
    <row r="500" spans="1:97">
      <c r="A500" s="397"/>
      <c r="B500" s="397"/>
      <c r="C500" s="397"/>
      <c r="D500" s="397"/>
      <c r="E500" s="397"/>
      <c r="F500" s="397"/>
      <c r="G500" s="180"/>
      <c r="H500" s="46"/>
      <c r="I500" s="53"/>
      <c r="J500" s="53"/>
      <c r="K500" s="192"/>
      <c r="L500" s="192"/>
      <c r="M500" s="192"/>
      <c r="N500" s="192"/>
      <c r="O500" s="192"/>
      <c r="P500" s="192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  <c r="AK500" s="40"/>
      <c r="AL500" s="40"/>
      <c r="AM500" s="40"/>
      <c r="AN500" s="40"/>
      <c r="AO500" s="40"/>
      <c r="AP500" s="40"/>
      <c r="AQ500" s="40"/>
      <c r="AR500" s="40"/>
      <c r="AS500" s="40"/>
      <c r="AT500" s="40"/>
      <c r="AU500" s="40"/>
      <c r="AV500" s="40"/>
      <c r="AW500" s="40"/>
      <c r="AX500" s="40"/>
      <c r="AY500" s="40"/>
      <c r="AZ500" s="40"/>
      <c r="BA500" s="40"/>
      <c r="BB500" s="40"/>
      <c r="BC500" s="40"/>
      <c r="BD500" s="40"/>
      <c r="BE500" s="40"/>
      <c r="BF500" s="40"/>
      <c r="BG500" s="40"/>
      <c r="BH500" s="40"/>
      <c r="BI500" s="40"/>
      <c r="BJ500" s="40"/>
      <c r="BK500" s="40"/>
      <c r="BL500" s="40"/>
      <c r="BM500" s="40"/>
      <c r="BN500" s="40"/>
      <c r="BO500" s="40"/>
      <c r="BP500" s="40"/>
      <c r="BQ500" s="40"/>
      <c r="BR500" s="40"/>
      <c r="BS500" s="40"/>
      <c r="BT500" s="40"/>
      <c r="BU500" s="40"/>
      <c r="BV500" s="40"/>
      <c r="BW500" s="40"/>
      <c r="BX500" s="40"/>
      <c r="BY500" s="40"/>
      <c r="BZ500" s="40"/>
      <c r="CA500" s="40"/>
      <c r="CB500" s="40"/>
      <c r="CC500" s="40"/>
      <c r="CD500" s="40"/>
      <c r="CE500" s="40"/>
      <c r="CF500" s="40"/>
      <c r="CG500" s="40"/>
      <c r="CH500" s="40"/>
      <c r="CI500" s="40"/>
      <c r="CJ500" s="40"/>
      <c r="CK500" s="40"/>
      <c r="CL500" s="40"/>
      <c r="CM500" s="40"/>
      <c r="CN500" s="40"/>
      <c r="CO500" s="40"/>
      <c r="CP500" s="40"/>
      <c r="CQ500" s="40"/>
      <c r="CR500" s="40"/>
      <c r="CS500" s="40"/>
    </row>
    <row r="501" spans="1:97">
      <c r="A501" s="397"/>
      <c r="B501" s="397"/>
      <c r="C501" s="397"/>
      <c r="D501" s="397"/>
      <c r="E501" s="397"/>
      <c r="F501" s="397"/>
      <c r="G501" s="180"/>
      <c r="H501" s="46"/>
      <c r="I501" s="53"/>
      <c r="J501" s="53"/>
      <c r="K501" s="192"/>
      <c r="L501" s="192"/>
      <c r="M501" s="192"/>
      <c r="N501" s="192"/>
      <c r="O501" s="192"/>
      <c r="P501" s="192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/>
      <c r="AO501" s="40"/>
      <c r="AP501" s="40"/>
      <c r="AQ501" s="40"/>
      <c r="AR501" s="40"/>
      <c r="AS501" s="40"/>
      <c r="AT501" s="40"/>
      <c r="AU501" s="40"/>
      <c r="AV501" s="40"/>
      <c r="AW501" s="40"/>
      <c r="AX501" s="40"/>
      <c r="AY501" s="40"/>
      <c r="AZ501" s="40"/>
      <c r="BA501" s="40"/>
      <c r="BB501" s="40"/>
      <c r="BC501" s="40"/>
      <c r="BD501" s="40"/>
      <c r="BE501" s="40"/>
      <c r="BF501" s="40"/>
      <c r="BG501" s="40"/>
      <c r="BH501" s="40"/>
      <c r="BI501" s="40"/>
      <c r="BJ501" s="40"/>
      <c r="BK501" s="40"/>
      <c r="BL501" s="40"/>
      <c r="BM501" s="40"/>
      <c r="BN501" s="40"/>
      <c r="BO501" s="40"/>
      <c r="BP501" s="40"/>
      <c r="BQ501" s="40"/>
      <c r="BR501" s="40"/>
      <c r="BS501" s="40"/>
      <c r="BT501" s="40"/>
      <c r="BU501" s="40"/>
      <c r="BV501" s="40"/>
      <c r="BW501" s="40"/>
      <c r="BX501" s="40"/>
      <c r="BY501" s="40"/>
      <c r="BZ501" s="40"/>
      <c r="CA501" s="40"/>
      <c r="CB501" s="40"/>
      <c r="CC501" s="40"/>
      <c r="CD501" s="40"/>
      <c r="CE501" s="40"/>
      <c r="CF501" s="40"/>
      <c r="CG501" s="40"/>
      <c r="CH501" s="40"/>
      <c r="CI501" s="40"/>
      <c r="CJ501" s="40"/>
      <c r="CK501" s="40"/>
      <c r="CL501" s="40"/>
      <c r="CM501" s="40"/>
      <c r="CN501" s="40"/>
      <c r="CO501" s="40"/>
      <c r="CP501" s="40"/>
      <c r="CQ501" s="40"/>
      <c r="CR501" s="40"/>
      <c r="CS501" s="40"/>
    </row>
    <row r="502" spans="1:97">
      <c r="A502" s="397"/>
      <c r="B502" s="397"/>
      <c r="C502" s="397"/>
      <c r="D502" s="397"/>
      <c r="E502" s="397"/>
      <c r="F502" s="397"/>
      <c r="G502" s="180"/>
      <c r="H502" s="46"/>
      <c r="I502" s="53"/>
      <c r="J502" s="53"/>
      <c r="K502" s="192"/>
      <c r="L502" s="192"/>
      <c r="M502" s="192"/>
      <c r="N502" s="192"/>
      <c r="O502" s="192"/>
      <c r="P502" s="192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  <c r="AM502" s="40"/>
      <c r="AN502" s="40"/>
      <c r="AO502" s="40"/>
      <c r="AP502" s="40"/>
      <c r="AQ502" s="40"/>
      <c r="AR502" s="40"/>
      <c r="AS502" s="40"/>
      <c r="AT502" s="40"/>
      <c r="AU502" s="40"/>
      <c r="AV502" s="40"/>
      <c r="AW502" s="40"/>
      <c r="AX502" s="40"/>
      <c r="AY502" s="40"/>
      <c r="AZ502" s="40"/>
      <c r="BA502" s="40"/>
      <c r="BB502" s="40"/>
      <c r="BC502" s="40"/>
      <c r="BD502" s="40"/>
      <c r="BE502" s="40"/>
      <c r="BF502" s="40"/>
      <c r="BG502" s="40"/>
      <c r="BH502" s="40"/>
      <c r="BI502" s="40"/>
      <c r="BJ502" s="40"/>
      <c r="BK502" s="40"/>
      <c r="BL502" s="40"/>
      <c r="BM502" s="40"/>
      <c r="BN502" s="40"/>
      <c r="BO502" s="40"/>
      <c r="BP502" s="40"/>
      <c r="BQ502" s="40"/>
      <c r="BR502" s="40"/>
      <c r="BS502" s="40"/>
      <c r="BT502" s="40"/>
      <c r="BU502" s="40"/>
      <c r="BV502" s="40"/>
      <c r="BW502" s="40"/>
      <c r="BX502" s="40"/>
      <c r="BY502" s="40"/>
      <c r="BZ502" s="40"/>
      <c r="CA502" s="40"/>
      <c r="CB502" s="40"/>
      <c r="CC502" s="40"/>
      <c r="CD502" s="40"/>
      <c r="CE502" s="40"/>
      <c r="CF502" s="40"/>
      <c r="CG502" s="40"/>
      <c r="CH502" s="40"/>
      <c r="CI502" s="40"/>
      <c r="CJ502" s="40"/>
      <c r="CK502" s="40"/>
      <c r="CL502" s="40"/>
      <c r="CM502" s="40"/>
      <c r="CN502" s="40"/>
      <c r="CO502" s="40"/>
      <c r="CP502" s="40"/>
      <c r="CQ502" s="40"/>
      <c r="CR502" s="40"/>
      <c r="CS502" s="40"/>
    </row>
    <row r="503" spans="1:97">
      <c r="A503" s="397"/>
      <c r="B503" s="397"/>
      <c r="C503" s="397"/>
      <c r="D503" s="397"/>
      <c r="E503" s="397"/>
      <c r="F503" s="397"/>
      <c r="G503" s="180"/>
      <c r="H503" s="46"/>
      <c r="I503" s="53"/>
      <c r="J503" s="53"/>
      <c r="K503" s="192"/>
      <c r="L503" s="192"/>
      <c r="M503" s="192"/>
      <c r="N503" s="192"/>
      <c r="O503" s="192"/>
      <c r="P503" s="192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40"/>
      <c r="AL503" s="40"/>
      <c r="AM503" s="40"/>
      <c r="AN503" s="40"/>
      <c r="AO503" s="40"/>
      <c r="AP503" s="40"/>
      <c r="AQ503" s="40"/>
      <c r="AR503" s="40"/>
      <c r="AS503" s="40"/>
      <c r="AT503" s="40"/>
      <c r="AU503" s="40"/>
      <c r="AV503" s="40"/>
      <c r="AW503" s="40"/>
      <c r="AX503" s="40"/>
      <c r="AY503" s="40"/>
      <c r="AZ503" s="40"/>
      <c r="BA503" s="40"/>
      <c r="BB503" s="40"/>
      <c r="BC503" s="40"/>
      <c r="BD503" s="40"/>
      <c r="BE503" s="40"/>
      <c r="BF503" s="40"/>
      <c r="BG503" s="40"/>
      <c r="BH503" s="40"/>
      <c r="BI503" s="40"/>
      <c r="BJ503" s="40"/>
      <c r="BK503" s="40"/>
      <c r="BL503" s="40"/>
      <c r="BM503" s="40"/>
      <c r="BN503" s="40"/>
      <c r="BO503" s="40"/>
      <c r="BP503" s="40"/>
      <c r="BQ503" s="40"/>
      <c r="BR503" s="40"/>
      <c r="BS503" s="40"/>
      <c r="BT503" s="40"/>
      <c r="BU503" s="40"/>
      <c r="BV503" s="40"/>
      <c r="BW503" s="40"/>
      <c r="BX503" s="40"/>
      <c r="BY503" s="40"/>
      <c r="BZ503" s="40"/>
      <c r="CA503" s="40"/>
      <c r="CB503" s="40"/>
      <c r="CC503" s="40"/>
      <c r="CD503" s="40"/>
      <c r="CE503" s="40"/>
      <c r="CF503" s="40"/>
      <c r="CG503" s="40"/>
      <c r="CH503" s="40"/>
      <c r="CI503" s="40"/>
      <c r="CJ503" s="40"/>
      <c r="CK503" s="40"/>
      <c r="CL503" s="40"/>
      <c r="CM503" s="40"/>
      <c r="CN503" s="40"/>
      <c r="CO503" s="40"/>
      <c r="CP503" s="40"/>
      <c r="CQ503" s="40"/>
      <c r="CR503" s="40"/>
      <c r="CS503" s="40"/>
    </row>
    <row r="504" spans="1:97">
      <c r="A504" s="397"/>
      <c r="B504" s="397"/>
      <c r="C504" s="397"/>
      <c r="D504" s="397"/>
      <c r="E504" s="397"/>
      <c r="F504" s="397"/>
      <c r="G504" s="180"/>
      <c r="H504" s="46"/>
      <c r="I504" s="53"/>
      <c r="J504" s="53"/>
      <c r="K504" s="192"/>
      <c r="L504" s="192"/>
      <c r="M504" s="192"/>
      <c r="N504" s="192"/>
      <c r="O504" s="192"/>
      <c r="P504" s="192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  <c r="AJ504" s="40"/>
      <c r="AK504" s="40"/>
      <c r="AL504" s="40"/>
      <c r="AM504" s="40"/>
      <c r="AN504" s="40"/>
      <c r="AO504" s="40"/>
      <c r="AP504" s="40"/>
      <c r="AQ504" s="40"/>
      <c r="AR504" s="40"/>
      <c r="AS504" s="40"/>
      <c r="AT504" s="40"/>
      <c r="AU504" s="40"/>
      <c r="AV504" s="40"/>
      <c r="AW504" s="40"/>
      <c r="AX504" s="40"/>
      <c r="AY504" s="40"/>
      <c r="AZ504" s="40"/>
      <c r="BA504" s="40"/>
      <c r="BB504" s="40"/>
      <c r="BC504" s="40"/>
      <c r="BD504" s="40"/>
      <c r="BE504" s="40"/>
      <c r="BF504" s="40"/>
      <c r="BG504" s="40"/>
      <c r="BH504" s="40"/>
      <c r="BI504" s="40"/>
      <c r="BJ504" s="40"/>
      <c r="BK504" s="40"/>
      <c r="BL504" s="40"/>
      <c r="BM504" s="40"/>
      <c r="BN504" s="40"/>
      <c r="BO504" s="40"/>
      <c r="BP504" s="40"/>
      <c r="BQ504" s="40"/>
      <c r="BR504" s="40"/>
      <c r="BS504" s="40"/>
      <c r="BT504" s="40"/>
      <c r="BU504" s="40"/>
      <c r="BV504" s="40"/>
      <c r="BW504" s="40"/>
      <c r="BX504" s="40"/>
      <c r="BY504" s="40"/>
      <c r="BZ504" s="40"/>
      <c r="CA504" s="40"/>
      <c r="CB504" s="40"/>
      <c r="CC504" s="40"/>
      <c r="CD504" s="40"/>
      <c r="CE504" s="40"/>
      <c r="CF504" s="40"/>
      <c r="CG504" s="40"/>
      <c r="CH504" s="40"/>
      <c r="CI504" s="40"/>
      <c r="CJ504" s="40"/>
      <c r="CK504" s="40"/>
      <c r="CL504" s="40"/>
      <c r="CM504" s="40"/>
      <c r="CN504" s="40"/>
      <c r="CO504" s="40"/>
      <c r="CP504" s="40"/>
      <c r="CQ504" s="40"/>
      <c r="CR504" s="40"/>
      <c r="CS504" s="40"/>
    </row>
    <row r="505" spans="1:97">
      <c r="A505" s="397"/>
      <c r="B505" s="397"/>
      <c r="C505" s="397"/>
      <c r="D505" s="397"/>
      <c r="E505" s="397"/>
      <c r="F505" s="397"/>
      <c r="G505" s="180"/>
      <c r="H505" s="46"/>
      <c r="I505" s="53"/>
      <c r="J505" s="53"/>
      <c r="K505" s="192"/>
      <c r="L505" s="192"/>
      <c r="M505" s="192"/>
      <c r="N505" s="192"/>
      <c r="O505" s="192"/>
      <c r="P505" s="192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  <c r="AJ505" s="40"/>
      <c r="AK505" s="40"/>
      <c r="AL505" s="40"/>
      <c r="AM505" s="40"/>
      <c r="AN505" s="40"/>
      <c r="AO505" s="40"/>
      <c r="AP505" s="40"/>
      <c r="AQ505" s="40"/>
      <c r="AR505" s="40"/>
      <c r="AS505" s="40"/>
      <c r="AT505" s="40"/>
      <c r="AU505" s="40"/>
      <c r="AV505" s="40"/>
      <c r="AW505" s="40"/>
      <c r="AX505" s="40"/>
      <c r="AY505" s="40"/>
      <c r="AZ505" s="40"/>
      <c r="BA505" s="40"/>
      <c r="BB505" s="40"/>
      <c r="BC505" s="40"/>
      <c r="BD505" s="40"/>
      <c r="BE505" s="40"/>
      <c r="BF505" s="40"/>
      <c r="BG505" s="40"/>
      <c r="BH505" s="40"/>
      <c r="BI505" s="40"/>
      <c r="BJ505" s="40"/>
      <c r="BK505" s="40"/>
      <c r="BL505" s="40"/>
      <c r="BM505" s="40"/>
      <c r="BN505" s="40"/>
      <c r="BO505" s="40"/>
      <c r="BP505" s="40"/>
      <c r="BQ505" s="40"/>
      <c r="BR505" s="40"/>
      <c r="BS505" s="40"/>
      <c r="BT505" s="40"/>
      <c r="BU505" s="40"/>
      <c r="BV505" s="40"/>
      <c r="BW505" s="40"/>
      <c r="BX505" s="40"/>
      <c r="BY505" s="40"/>
      <c r="BZ505" s="40"/>
      <c r="CA505" s="40"/>
      <c r="CB505" s="40"/>
      <c r="CC505" s="40"/>
      <c r="CD505" s="40"/>
      <c r="CE505" s="40"/>
      <c r="CF505" s="40"/>
      <c r="CG505" s="40"/>
      <c r="CH505" s="40"/>
      <c r="CI505" s="40"/>
      <c r="CJ505" s="40"/>
      <c r="CK505" s="40"/>
      <c r="CL505" s="40"/>
      <c r="CM505" s="40"/>
      <c r="CN505" s="40"/>
      <c r="CO505" s="40"/>
      <c r="CP505" s="40"/>
      <c r="CQ505" s="40"/>
      <c r="CR505" s="40"/>
      <c r="CS505" s="40"/>
    </row>
    <row r="506" spans="1:97">
      <c r="A506" s="397"/>
      <c r="B506" s="397"/>
      <c r="C506" s="397"/>
      <c r="D506" s="397"/>
      <c r="E506" s="397"/>
      <c r="F506" s="397"/>
      <c r="G506" s="180"/>
      <c r="H506" s="46"/>
      <c r="I506" s="53"/>
      <c r="J506" s="53"/>
      <c r="K506" s="192"/>
      <c r="L506" s="192"/>
      <c r="M506" s="192"/>
      <c r="N506" s="192"/>
      <c r="O506" s="192"/>
      <c r="P506" s="192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  <c r="AM506" s="40"/>
      <c r="AN506" s="40"/>
      <c r="AO506" s="40"/>
      <c r="AP506" s="40"/>
      <c r="AQ506" s="40"/>
      <c r="AR506" s="40"/>
      <c r="AS506" s="40"/>
      <c r="AT506" s="40"/>
      <c r="AU506" s="40"/>
      <c r="AV506" s="40"/>
      <c r="AW506" s="40"/>
      <c r="AX506" s="40"/>
      <c r="AY506" s="40"/>
      <c r="AZ506" s="40"/>
      <c r="BA506" s="40"/>
      <c r="BB506" s="40"/>
      <c r="BC506" s="40"/>
      <c r="BD506" s="40"/>
      <c r="BE506" s="40"/>
      <c r="BF506" s="40"/>
      <c r="BG506" s="40"/>
      <c r="BH506" s="40"/>
      <c r="BI506" s="40"/>
      <c r="BJ506" s="40"/>
      <c r="BK506" s="40"/>
      <c r="BL506" s="40"/>
      <c r="BM506" s="40"/>
      <c r="BN506" s="40"/>
      <c r="BO506" s="40"/>
      <c r="BP506" s="40"/>
      <c r="BQ506" s="40"/>
      <c r="BR506" s="40"/>
      <c r="BS506" s="40"/>
      <c r="BT506" s="40"/>
      <c r="BU506" s="40"/>
      <c r="BV506" s="40"/>
      <c r="BW506" s="40"/>
      <c r="BX506" s="40"/>
      <c r="BY506" s="40"/>
      <c r="BZ506" s="40"/>
      <c r="CA506" s="40"/>
      <c r="CB506" s="40"/>
      <c r="CC506" s="40"/>
      <c r="CD506" s="40"/>
      <c r="CE506" s="40"/>
      <c r="CF506" s="40"/>
      <c r="CG506" s="40"/>
      <c r="CH506" s="40"/>
      <c r="CI506" s="40"/>
      <c r="CJ506" s="40"/>
      <c r="CK506" s="40"/>
      <c r="CL506" s="40"/>
      <c r="CM506" s="40"/>
      <c r="CN506" s="40"/>
      <c r="CO506" s="40"/>
      <c r="CP506" s="40"/>
      <c r="CQ506" s="40"/>
      <c r="CR506" s="40"/>
      <c r="CS506" s="40"/>
    </row>
    <row r="507" spans="1:97">
      <c r="A507" s="397"/>
      <c r="B507" s="397"/>
      <c r="C507" s="397"/>
      <c r="D507" s="397"/>
      <c r="E507" s="397"/>
      <c r="F507" s="397"/>
      <c r="G507" s="180"/>
      <c r="H507" s="46"/>
      <c r="I507" s="53"/>
      <c r="J507" s="53"/>
      <c r="K507" s="192"/>
      <c r="L507" s="192"/>
      <c r="M507" s="192"/>
      <c r="N507" s="192"/>
      <c r="O507" s="192"/>
      <c r="P507" s="192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  <c r="AK507" s="40"/>
      <c r="AL507" s="40"/>
      <c r="AM507" s="40"/>
      <c r="AN507" s="40"/>
      <c r="AO507" s="40"/>
      <c r="AP507" s="40"/>
      <c r="AQ507" s="40"/>
      <c r="AR507" s="40"/>
      <c r="AS507" s="40"/>
      <c r="AT507" s="40"/>
      <c r="AU507" s="40"/>
      <c r="AV507" s="40"/>
      <c r="AW507" s="40"/>
      <c r="AX507" s="40"/>
      <c r="AY507" s="40"/>
      <c r="AZ507" s="40"/>
      <c r="BA507" s="40"/>
      <c r="BB507" s="40"/>
      <c r="BC507" s="40"/>
      <c r="BD507" s="40"/>
      <c r="BE507" s="40"/>
      <c r="BF507" s="40"/>
      <c r="BG507" s="40"/>
      <c r="BH507" s="40"/>
      <c r="BI507" s="40"/>
      <c r="BJ507" s="40"/>
      <c r="BK507" s="40"/>
      <c r="BL507" s="40"/>
      <c r="BM507" s="40"/>
      <c r="BN507" s="40"/>
      <c r="BO507" s="40"/>
      <c r="BP507" s="40"/>
      <c r="BQ507" s="40"/>
      <c r="BR507" s="40"/>
      <c r="BS507" s="40"/>
      <c r="BT507" s="40"/>
      <c r="BU507" s="40"/>
      <c r="BV507" s="40"/>
      <c r="BW507" s="40"/>
      <c r="BX507" s="40"/>
      <c r="BY507" s="40"/>
      <c r="BZ507" s="40"/>
      <c r="CA507" s="40"/>
      <c r="CB507" s="40"/>
      <c r="CC507" s="40"/>
      <c r="CD507" s="40"/>
      <c r="CE507" s="40"/>
      <c r="CF507" s="40"/>
      <c r="CG507" s="40"/>
      <c r="CH507" s="40"/>
      <c r="CI507" s="40"/>
      <c r="CJ507" s="40"/>
      <c r="CK507" s="40"/>
      <c r="CL507" s="40"/>
      <c r="CM507" s="40"/>
      <c r="CN507" s="40"/>
      <c r="CO507" s="40"/>
      <c r="CP507" s="40"/>
      <c r="CQ507" s="40"/>
      <c r="CR507" s="40"/>
      <c r="CS507" s="40"/>
    </row>
    <row r="508" spans="1:97">
      <c r="A508" s="397"/>
      <c r="B508" s="397"/>
      <c r="C508" s="397"/>
      <c r="D508" s="397"/>
      <c r="E508" s="397"/>
      <c r="F508" s="397"/>
      <c r="G508" s="180"/>
      <c r="H508" s="46"/>
      <c r="I508" s="53"/>
      <c r="J508" s="53"/>
      <c r="K508" s="192"/>
      <c r="L508" s="192"/>
      <c r="M508" s="192"/>
      <c r="N508" s="192"/>
      <c r="O508" s="192"/>
      <c r="P508" s="192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  <c r="AM508" s="40"/>
      <c r="AN508" s="40"/>
      <c r="AO508" s="40"/>
      <c r="AP508" s="40"/>
      <c r="AQ508" s="40"/>
      <c r="AR508" s="40"/>
      <c r="AS508" s="40"/>
      <c r="AT508" s="40"/>
      <c r="AU508" s="40"/>
      <c r="AV508" s="40"/>
      <c r="AW508" s="40"/>
      <c r="AX508" s="40"/>
      <c r="AY508" s="40"/>
      <c r="AZ508" s="40"/>
      <c r="BA508" s="40"/>
      <c r="BB508" s="40"/>
      <c r="BC508" s="40"/>
      <c r="BD508" s="40"/>
      <c r="BE508" s="40"/>
      <c r="BF508" s="40"/>
      <c r="BG508" s="40"/>
      <c r="BH508" s="40"/>
      <c r="BI508" s="40"/>
      <c r="BJ508" s="40"/>
      <c r="BK508" s="40"/>
      <c r="BL508" s="40"/>
      <c r="BM508" s="40"/>
      <c r="BN508" s="40"/>
      <c r="BO508" s="40"/>
      <c r="BP508" s="40"/>
      <c r="BQ508" s="40"/>
      <c r="BR508" s="40"/>
      <c r="BS508" s="40"/>
      <c r="BT508" s="40"/>
      <c r="BU508" s="40"/>
      <c r="BV508" s="40"/>
      <c r="BW508" s="40"/>
      <c r="BX508" s="40"/>
      <c r="BY508" s="40"/>
      <c r="BZ508" s="40"/>
      <c r="CA508" s="40"/>
      <c r="CB508" s="40"/>
      <c r="CC508" s="40"/>
      <c r="CD508" s="40"/>
      <c r="CE508" s="40"/>
      <c r="CF508" s="40"/>
      <c r="CG508" s="40"/>
      <c r="CH508" s="40"/>
      <c r="CI508" s="40"/>
      <c r="CJ508" s="40"/>
      <c r="CK508" s="40"/>
      <c r="CL508" s="40"/>
      <c r="CM508" s="40"/>
      <c r="CN508" s="40"/>
      <c r="CO508" s="40"/>
      <c r="CP508" s="40"/>
      <c r="CQ508" s="40"/>
      <c r="CR508" s="40"/>
      <c r="CS508" s="40"/>
    </row>
    <row r="509" spans="1:97">
      <c r="A509" s="397"/>
      <c r="B509" s="397"/>
      <c r="C509" s="397"/>
      <c r="D509" s="397"/>
      <c r="E509" s="397"/>
      <c r="F509" s="397"/>
      <c r="G509" s="180"/>
      <c r="H509" s="46"/>
      <c r="I509" s="53"/>
      <c r="J509" s="53"/>
      <c r="K509" s="192"/>
      <c r="L509" s="192"/>
      <c r="M509" s="192"/>
      <c r="N509" s="192"/>
      <c r="O509" s="192"/>
      <c r="P509" s="192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  <c r="AJ509" s="40"/>
      <c r="AK509" s="40"/>
      <c r="AL509" s="40"/>
      <c r="AM509" s="40"/>
      <c r="AN509" s="40"/>
      <c r="AO509" s="40"/>
      <c r="AP509" s="40"/>
      <c r="AQ509" s="40"/>
      <c r="AR509" s="40"/>
      <c r="AS509" s="40"/>
      <c r="AT509" s="40"/>
      <c r="AU509" s="40"/>
      <c r="AV509" s="40"/>
      <c r="AW509" s="40"/>
      <c r="AX509" s="40"/>
      <c r="AY509" s="40"/>
      <c r="AZ509" s="40"/>
      <c r="BA509" s="40"/>
      <c r="BB509" s="40"/>
      <c r="BC509" s="40"/>
      <c r="BD509" s="40"/>
      <c r="BE509" s="40"/>
      <c r="BF509" s="40"/>
      <c r="BG509" s="40"/>
      <c r="BH509" s="40"/>
      <c r="BI509" s="40"/>
      <c r="BJ509" s="40"/>
      <c r="BK509" s="40"/>
      <c r="BL509" s="40"/>
      <c r="BM509" s="40"/>
      <c r="BN509" s="40"/>
      <c r="BO509" s="40"/>
      <c r="BP509" s="40"/>
      <c r="BQ509" s="40"/>
      <c r="BR509" s="40"/>
      <c r="BS509" s="40"/>
      <c r="BT509" s="40"/>
      <c r="BU509" s="40"/>
      <c r="BV509" s="40"/>
      <c r="BW509" s="40"/>
      <c r="BX509" s="40"/>
      <c r="BY509" s="40"/>
      <c r="BZ509" s="40"/>
      <c r="CA509" s="40"/>
      <c r="CB509" s="40"/>
      <c r="CC509" s="40"/>
      <c r="CD509" s="40"/>
      <c r="CE509" s="40"/>
      <c r="CF509" s="40"/>
      <c r="CG509" s="40"/>
      <c r="CH509" s="40"/>
      <c r="CI509" s="40"/>
      <c r="CJ509" s="40"/>
      <c r="CK509" s="40"/>
      <c r="CL509" s="40"/>
      <c r="CM509" s="40"/>
      <c r="CN509" s="40"/>
      <c r="CO509" s="40"/>
      <c r="CP509" s="40"/>
      <c r="CQ509" s="40"/>
      <c r="CR509" s="40"/>
      <c r="CS509" s="40"/>
    </row>
    <row r="510" spans="1:97">
      <c r="A510" s="397"/>
      <c r="B510" s="397"/>
      <c r="C510" s="397"/>
      <c r="D510" s="397"/>
      <c r="E510" s="397"/>
      <c r="F510" s="397"/>
      <c r="G510" s="180"/>
      <c r="H510" s="46"/>
      <c r="I510" s="53"/>
      <c r="J510" s="53"/>
      <c r="K510" s="192"/>
      <c r="L510" s="192"/>
      <c r="M510" s="192"/>
      <c r="N510" s="192"/>
      <c r="O510" s="192"/>
      <c r="P510" s="192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  <c r="AK510" s="40"/>
      <c r="AL510" s="40"/>
      <c r="AM510" s="40"/>
      <c r="AN510" s="40"/>
      <c r="AO510" s="40"/>
      <c r="AP510" s="40"/>
      <c r="AQ510" s="40"/>
      <c r="AR510" s="40"/>
      <c r="AS510" s="40"/>
      <c r="AT510" s="40"/>
      <c r="AU510" s="40"/>
      <c r="AV510" s="40"/>
      <c r="AW510" s="40"/>
      <c r="AX510" s="40"/>
      <c r="AY510" s="40"/>
      <c r="AZ510" s="40"/>
      <c r="BA510" s="40"/>
      <c r="BB510" s="40"/>
      <c r="BC510" s="40"/>
      <c r="BD510" s="40"/>
      <c r="BE510" s="40"/>
      <c r="BF510" s="40"/>
      <c r="BG510" s="40"/>
      <c r="BH510" s="40"/>
      <c r="BI510" s="40"/>
      <c r="BJ510" s="40"/>
      <c r="BK510" s="40"/>
      <c r="BL510" s="40"/>
      <c r="BM510" s="40"/>
      <c r="BN510" s="40"/>
      <c r="BO510" s="40"/>
      <c r="BP510" s="40"/>
      <c r="BQ510" s="40"/>
      <c r="BR510" s="40"/>
      <c r="BS510" s="40"/>
      <c r="BT510" s="40"/>
      <c r="BU510" s="40"/>
      <c r="BV510" s="40"/>
      <c r="BW510" s="40"/>
      <c r="BX510" s="40"/>
      <c r="BY510" s="40"/>
      <c r="BZ510" s="40"/>
      <c r="CA510" s="40"/>
      <c r="CB510" s="40"/>
      <c r="CC510" s="40"/>
      <c r="CD510" s="40"/>
      <c r="CE510" s="40"/>
      <c r="CF510" s="40"/>
      <c r="CG510" s="40"/>
      <c r="CH510" s="40"/>
      <c r="CI510" s="40"/>
      <c r="CJ510" s="40"/>
      <c r="CK510" s="40"/>
      <c r="CL510" s="40"/>
      <c r="CM510" s="40"/>
      <c r="CN510" s="40"/>
      <c r="CO510" s="40"/>
      <c r="CP510" s="40"/>
      <c r="CQ510" s="40"/>
      <c r="CR510" s="40"/>
      <c r="CS510" s="40"/>
    </row>
    <row r="511" spans="1:97">
      <c r="A511" s="397"/>
      <c r="B511" s="397"/>
      <c r="C511" s="397"/>
      <c r="D511" s="397"/>
      <c r="E511" s="397"/>
      <c r="F511" s="397"/>
      <c r="G511" s="180"/>
      <c r="H511" s="46"/>
      <c r="I511" s="53"/>
      <c r="J511" s="53"/>
      <c r="K511" s="192"/>
      <c r="L511" s="192"/>
      <c r="M511" s="192"/>
      <c r="N511" s="192"/>
      <c r="O511" s="192"/>
      <c r="P511" s="192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  <c r="AJ511" s="40"/>
      <c r="AK511" s="40"/>
      <c r="AL511" s="40"/>
      <c r="AM511" s="40"/>
      <c r="AN511" s="40"/>
      <c r="AO511" s="40"/>
      <c r="AP511" s="40"/>
      <c r="AQ511" s="40"/>
      <c r="AR511" s="40"/>
      <c r="AS511" s="40"/>
      <c r="AT511" s="40"/>
      <c r="AU511" s="40"/>
      <c r="AV511" s="40"/>
      <c r="AW511" s="40"/>
      <c r="AX511" s="40"/>
      <c r="AY511" s="40"/>
      <c r="AZ511" s="40"/>
      <c r="BA511" s="40"/>
      <c r="BB511" s="40"/>
      <c r="BC511" s="40"/>
      <c r="BD511" s="40"/>
      <c r="BE511" s="40"/>
      <c r="BF511" s="40"/>
      <c r="BG511" s="40"/>
      <c r="BH511" s="40"/>
      <c r="BI511" s="40"/>
      <c r="BJ511" s="40"/>
      <c r="BK511" s="40"/>
      <c r="BL511" s="40"/>
      <c r="BM511" s="40"/>
      <c r="BN511" s="40"/>
      <c r="BO511" s="40"/>
      <c r="BP511" s="40"/>
      <c r="BQ511" s="40"/>
      <c r="BR511" s="40"/>
      <c r="BS511" s="40"/>
      <c r="BT511" s="40"/>
      <c r="BU511" s="40"/>
      <c r="BV511" s="40"/>
      <c r="BW511" s="40"/>
      <c r="BX511" s="40"/>
      <c r="BY511" s="40"/>
      <c r="BZ511" s="40"/>
      <c r="CA511" s="40"/>
      <c r="CB511" s="40"/>
      <c r="CC511" s="40"/>
      <c r="CD511" s="40"/>
      <c r="CE511" s="40"/>
      <c r="CF511" s="40"/>
      <c r="CG511" s="40"/>
      <c r="CH511" s="40"/>
      <c r="CI511" s="40"/>
      <c r="CJ511" s="40"/>
      <c r="CK511" s="40"/>
      <c r="CL511" s="40"/>
      <c r="CM511" s="40"/>
      <c r="CN511" s="40"/>
      <c r="CO511" s="40"/>
      <c r="CP511" s="40"/>
      <c r="CQ511" s="40"/>
      <c r="CR511" s="40"/>
      <c r="CS511" s="40"/>
    </row>
    <row r="512" spans="1:97">
      <c r="A512" s="397"/>
      <c r="B512" s="397"/>
      <c r="C512" s="397"/>
      <c r="D512" s="397"/>
      <c r="E512" s="397"/>
      <c r="F512" s="397"/>
      <c r="G512" s="180"/>
      <c r="H512" s="46"/>
      <c r="I512" s="53"/>
      <c r="J512" s="53"/>
      <c r="K512" s="192"/>
      <c r="L512" s="192"/>
      <c r="M512" s="192"/>
      <c r="N512" s="192"/>
      <c r="O512" s="192"/>
      <c r="P512" s="192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  <c r="AM512" s="40"/>
      <c r="AN512" s="40"/>
      <c r="AO512" s="40"/>
      <c r="AP512" s="40"/>
      <c r="AQ512" s="40"/>
      <c r="AR512" s="40"/>
      <c r="AS512" s="40"/>
      <c r="AT512" s="40"/>
      <c r="AU512" s="40"/>
      <c r="AV512" s="40"/>
      <c r="AW512" s="40"/>
      <c r="AX512" s="40"/>
      <c r="AY512" s="40"/>
      <c r="AZ512" s="40"/>
      <c r="BA512" s="40"/>
      <c r="BB512" s="40"/>
      <c r="BC512" s="40"/>
      <c r="BD512" s="40"/>
      <c r="BE512" s="40"/>
      <c r="BF512" s="40"/>
      <c r="BG512" s="40"/>
      <c r="BH512" s="40"/>
      <c r="BI512" s="40"/>
      <c r="BJ512" s="40"/>
      <c r="BK512" s="40"/>
      <c r="BL512" s="40"/>
      <c r="BM512" s="40"/>
      <c r="BN512" s="40"/>
      <c r="BO512" s="40"/>
      <c r="BP512" s="40"/>
      <c r="BQ512" s="40"/>
      <c r="BR512" s="40"/>
      <c r="BS512" s="40"/>
      <c r="BT512" s="40"/>
      <c r="BU512" s="40"/>
      <c r="BV512" s="40"/>
      <c r="BW512" s="40"/>
      <c r="BX512" s="40"/>
      <c r="BY512" s="40"/>
      <c r="BZ512" s="40"/>
      <c r="CA512" s="40"/>
      <c r="CB512" s="40"/>
      <c r="CC512" s="40"/>
      <c r="CD512" s="40"/>
      <c r="CE512" s="40"/>
      <c r="CF512" s="40"/>
      <c r="CG512" s="40"/>
      <c r="CH512" s="40"/>
      <c r="CI512" s="40"/>
      <c r="CJ512" s="40"/>
      <c r="CK512" s="40"/>
      <c r="CL512" s="40"/>
      <c r="CM512" s="40"/>
      <c r="CN512" s="40"/>
      <c r="CO512" s="40"/>
      <c r="CP512" s="40"/>
      <c r="CQ512" s="40"/>
      <c r="CR512" s="40"/>
      <c r="CS512" s="40"/>
    </row>
    <row r="513" spans="1:97">
      <c r="A513" s="397"/>
      <c r="B513" s="397"/>
      <c r="C513" s="397"/>
      <c r="D513" s="397"/>
      <c r="E513" s="397"/>
      <c r="F513" s="397"/>
      <c r="G513" s="180"/>
      <c r="H513" s="46"/>
      <c r="I513" s="53"/>
      <c r="J513" s="53"/>
      <c r="K513" s="192"/>
      <c r="L513" s="192"/>
      <c r="M513" s="192"/>
      <c r="N513" s="192"/>
      <c r="O513" s="192"/>
      <c r="P513" s="192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0"/>
      <c r="AK513" s="40"/>
      <c r="AL513" s="40"/>
      <c r="AM513" s="40"/>
      <c r="AN513" s="40"/>
      <c r="AO513" s="40"/>
      <c r="AP513" s="40"/>
      <c r="AQ513" s="40"/>
      <c r="AR513" s="40"/>
      <c r="AS513" s="40"/>
      <c r="AT513" s="40"/>
      <c r="AU513" s="40"/>
      <c r="AV513" s="40"/>
      <c r="AW513" s="40"/>
      <c r="AX513" s="40"/>
      <c r="AY513" s="40"/>
      <c r="AZ513" s="40"/>
      <c r="BA513" s="40"/>
      <c r="BB513" s="40"/>
      <c r="BC513" s="40"/>
      <c r="BD513" s="40"/>
      <c r="BE513" s="40"/>
      <c r="BF513" s="40"/>
      <c r="BG513" s="40"/>
      <c r="BH513" s="40"/>
      <c r="BI513" s="40"/>
      <c r="BJ513" s="40"/>
      <c r="BK513" s="40"/>
      <c r="BL513" s="40"/>
      <c r="BM513" s="40"/>
      <c r="BN513" s="40"/>
      <c r="BO513" s="40"/>
      <c r="BP513" s="40"/>
      <c r="BQ513" s="40"/>
      <c r="BR513" s="40"/>
      <c r="BS513" s="40"/>
      <c r="BT513" s="40"/>
      <c r="BU513" s="40"/>
      <c r="BV513" s="40"/>
      <c r="BW513" s="40"/>
      <c r="BX513" s="40"/>
      <c r="BY513" s="40"/>
      <c r="BZ513" s="40"/>
      <c r="CA513" s="40"/>
      <c r="CB513" s="40"/>
      <c r="CC513" s="40"/>
      <c r="CD513" s="40"/>
      <c r="CE513" s="40"/>
      <c r="CF513" s="40"/>
      <c r="CG513" s="40"/>
      <c r="CH513" s="40"/>
      <c r="CI513" s="40"/>
      <c r="CJ513" s="40"/>
      <c r="CK513" s="40"/>
      <c r="CL513" s="40"/>
      <c r="CM513" s="40"/>
      <c r="CN513" s="40"/>
      <c r="CO513" s="40"/>
      <c r="CP513" s="40"/>
      <c r="CQ513" s="40"/>
      <c r="CR513" s="40"/>
      <c r="CS513" s="40"/>
    </row>
    <row r="514" spans="1:97">
      <c r="A514" s="397"/>
      <c r="B514" s="397"/>
      <c r="C514" s="397"/>
      <c r="D514" s="397"/>
      <c r="E514" s="397"/>
      <c r="F514" s="397"/>
      <c r="G514" s="180"/>
      <c r="H514" s="46"/>
      <c r="I514" s="53"/>
      <c r="J514" s="53"/>
      <c r="K514" s="192"/>
      <c r="L514" s="192"/>
      <c r="M514" s="192"/>
      <c r="N514" s="192"/>
      <c r="O514" s="192"/>
      <c r="P514" s="192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0"/>
      <c r="AK514" s="40"/>
      <c r="AL514" s="40"/>
      <c r="AM514" s="40"/>
      <c r="AN514" s="40"/>
      <c r="AO514" s="40"/>
      <c r="AP514" s="40"/>
      <c r="AQ514" s="40"/>
      <c r="AR514" s="40"/>
      <c r="AS514" s="40"/>
      <c r="AT514" s="40"/>
      <c r="AU514" s="40"/>
      <c r="AV514" s="40"/>
      <c r="AW514" s="40"/>
      <c r="AX514" s="40"/>
      <c r="AY514" s="40"/>
      <c r="AZ514" s="40"/>
      <c r="BA514" s="40"/>
      <c r="BB514" s="40"/>
      <c r="BC514" s="40"/>
      <c r="BD514" s="40"/>
      <c r="BE514" s="40"/>
      <c r="BF514" s="40"/>
      <c r="BG514" s="40"/>
      <c r="BH514" s="40"/>
      <c r="BI514" s="40"/>
      <c r="BJ514" s="40"/>
      <c r="BK514" s="40"/>
      <c r="BL514" s="40"/>
      <c r="BM514" s="40"/>
      <c r="BN514" s="40"/>
      <c r="BO514" s="40"/>
      <c r="BP514" s="40"/>
      <c r="BQ514" s="40"/>
      <c r="BR514" s="40"/>
      <c r="BS514" s="40"/>
      <c r="BT514" s="40"/>
      <c r="BU514" s="40"/>
      <c r="BV514" s="40"/>
      <c r="BW514" s="40"/>
      <c r="BX514" s="40"/>
      <c r="BY514" s="40"/>
      <c r="BZ514" s="40"/>
      <c r="CA514" s="40"/>
      <c r="CB514" s="40"/>
      <c r="CC514" s="40"/>
      <c r="CD514" s="40"/>
      <c r="CE514" s="40"/>
      <c r="CF514" s="40"/>
      <c r="CG514" s="40"/>
      <c r="CH514" s="40"/>
      <c r="CI514" s="40"/>
      <c r="CJ514" s="40"/>
      <c r="CK514" s="40"/>
      <c r="CL514" s="40"/>
      <c r="CM514" s="40"/>
      <c r="CN514" s="40"/>
      <c r="CO514" s="40"/>
      <c r="CP514" s="40"/>
      <c r="CQ514" s="40"/>
      <c r="CR514" s="40"/>
      <c r="CS514" s="40"/>
    </row>
    <row r="515" spans="1:97">
      <c r="A515" s="397"/>
      <c r="B515" s="397"/>
      <c r="C515" s="397"/>
      <c r="D515" s="397"/>
      <c r="E515" s="397"/>
      <c r="F515" s="397"/>
      <c r="G515" s="180"/>
      <c r="H515" s="46"/>
      <c r="I515" s="53"/>
      <c r="J515" s="53"/>
      <c r="K515" s="192"/>
      <c r="L515" s="192"/>
      <c r="M515" s="192"/>
      <c r="N515" s="192"/>
      <c r="O515" s="192"/>
      <c r="P515" s="192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  <c r="AM515" s="40"/>
      <c r="AN515" s="40"/>
      <c r="AO515" s="40"/>
      <c r="AP515" s="40"/>
      <c r="AQ515" s="40"/>
      <c r="AR515" s="40"/>
      <c r="AS515" s="40"/>
      <c r="AT515" s="40"/>
      <c r="AU515" s="40"/>
      <c r="AV515" s="40"/>
      <c r="AW515" s="40"/>
      <c r="AX515" s="40"/>
      <c r="AY515" s="40"/>
      <c r="AZ515" s="40"/>
      <c r="BA515" s="40"/>
      <c r="BB515" s="40"/>
      <c r="BC515" s="40"/>
      <c r="BD515" s="40"/>
      <c r="BE515" s="40"/>
      <c r="BF515" s="40"/>
      <c r="BG515" s="40"/>
      <c r="BH515" s="40"/>
      <c r="BI515" s="40"/>
      <c r="BJ515" s="40"/>
      <c r="BK515" s="40"/>
      <c r="BL515" s="40"/>
      <c r="BM515" s="40"/>
      <c r="BN515" s="40"/>
      <c r="BO515" s="40"/>
      <c r="BP515" s="40"/>
      <c r="BQ515" s="40"/>
      <c r="BR515" s="40"/>
      <c r="BS515" s="40"/>
      <c r="BT515" s="40"/>
      <c r="BU515" s="40"/>
      <c r="BV515" s="40"/>
      <c r="BW515" s="40"/>
      <c r="BX515" s="40"/>
      <c r="BY515" s="40"/>
      <c r="BZ515" s="40"/>
      <c r="CA515" s="40"/>
      <c r="CB515" s="40"/>
      <c r="CC515" s="40"/>
      <c r="CD515" s="40"/>
      <c r="CE515" s="40"/>
      <c r="CF515" s="40"/>
      <c r="CG515" s="40"/>
      <c r="CH515" s="40"/>
      <c r="CI515" s="40"/>
      <c r="CJ515" s="40"/>
      <c r="CK515" s="40"/>
      <c r="CL515" s="40"/>
      <c r="CM515" s="40"/>
      <c r="CN515" s="40"/>
      <c r="CO515" s="40"/>
      <c r="CP515" s="40"/>
      <c r="CQ515" s="40"/>
      <c r="CR515" s="40"/>
      <c r="CS515" s="40"/>
    </row>
    <row r="516" spans="1:97">
      <c r="A516" s="397"/>
      <c r="B516" s="397"/>
      <c r="C516" s="397"/>
      <c r="D516" s="397"/>
      <c r="E516" s="397"/>
      <c r="F516" s="397"/>
      <c r="G516" s="180"/>
      <c r="H516" s="46"/>
      <c r="I516" s="53"/>
      <c r="J516" s="53"/>
      <c r="K516" s="192"/>
      <c r="L516" s="192"/>
      <c r="M516" s="192"/>
      <c r="N516" s="192"/>
      <c r="O516" s="192"/>
      <c r="P516" s="192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  <c r="AM516" s="40"/>
      <c r="AN516" s="40"/>
      <c r="AO516" s="40"/>
      <c r="AP516" s="40"/>
      <c r="AQ516" s="40"/>
      <c r="AR516" s="40"/>
      <c r="AS516" s="40"/>
      <c r="AT516" s="40"/>
      <c r="AU516" s="40"/>
      <c r="AV516" s="40"/>
      <c r="AW516" s="40"/>
      <c r="AX516" s="40"/>
      <c r="AY516" s="40"/>
      <c r="AZ516" s="40"/>
      <c r="BA516" s="40"/>
      <c r="BB516" s="40"/>
      <c r="BC516" s="40"/>
      <c r="BD516" s="40"/>
      <c r="BE516" s="40"/>
      <c r="BF516" s="40"/>
      <c r="BG516" s="40"/>
      <c r="BH516" s="40"/>
      <c r="BI516" s="40"/>
      <c r="BJ516" s="40"/>
      <c r="BK516" s="40"/>
      <c r="BL516" s="40"/>
      <c r="BM516" s="40"/>
      <c r="BN516" s="40"/>
      <c r="BO516" s="40"/>
      <c r="BP516" s="40"/>
      <c r="BQ516" s="40"/>
      <c r="BR516" s="40"/>
      <c r="BS516" s="40"/>
      <c r="BT516" s="40"/>
      <c r="BU516" s="40"/>
      <c r="BV516" s="40"/>
      <c r="BW516" s="40"/>
      <c r="BX516" s="40"/>
      <c r="BY516" s="40"/>
      <c r="BZ516" s="40"/>
      <c r="CA516" s="40"/>
      <c r="CB516" s="40"/>
      <c r="CC516" s="40"/>
      <c r="CD516" s="40"/>
      <c r="CE516" s="40"/>
      <c r="CF516" s="40"/>
      <c r="CG516" s="40"/>
      <c r="CH516" s="40"/>
      <c r="CI516" s="40"/>
      <c r="CJ516" s="40"/>
      <c r="CK516" s="40"/>
      <c r="CL516" s="40"/>
      <c r="CM516" s="40"/>
      <c r="CN516" s="40"/>
      <c r="CO516" s="40"/>
      <c r="CP516" s="40"/>
      <c r="CQ516" s="40"/>
      <c r="CR516" s="40"/>
      <c r="CS516" s="40"/>
    </row>
    <row r="517" spans="1:97">
      <c r="A517" s="397"/>
      <c r="B517" s="397"/>
      <c r="C517" s="397"/>
      <c r="D517" s="397"/>
      <c r="E517" s="397"/>
      <c r="F517" s="397"/>
      <c r="G517" s="180"/>
      <c r="H517" s="46"/>
      <c r="I517" s="53"/>
      <c r="J517" s="53"/>
      <c r="K517" s="192"/>
      <c r="L517" s="192"/>
      <c r="M517" s="192"/>
      <c r="N517" s="192"/>
      <c r="O517" s="192"/>
      <c r="P517" s="192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  <c r="AM517" s="40"/>
      <c r="AN517" s="40"/>
      <c r="AO517" s="40"/>
      <c r="AP517" s="40"/>
      <c r="AQ517" s="40"/>
      <c r="AR517" s="40"/>
      <c r="AS517" s="40"/>
      <c r="AT517" s="40"/>
      <c r="AU517" s="40"/>
      <c r="AV517" s="40"/>
      <c r="AW517" s="40"/>
      <c r="AX517" s="40"/>
      <c r="AY517" s="40"/>
      <c r="AZ517" s="40"/>
      <c r="BA517" s="40"/>
      <c r="BB517" s="40"/>
      <c r="BC517" s="40"/>
      <c r="BD517" s="40"/>
      <c r="BE517" s="40"/>
      <c r="BF517" s="40"/>
      <c r="BG517" s="40"/>
      <c r="BH517" s="40"/>
      <c r="BI517" s="40"/>
      <c r="BJ517" s="40"/>
      <c r="BK517" s="40"/>
      <c r="BL517" s="40"/>
      <c r="BM517" s="40"/>
      <c r="BN517" s="40"/>
      <c r="BO517" s="40"/>
      <c r="BP517" s="40"/>
      <c r="BQ517" s="40"/>
      <c r="BR517" s="40"/>
      <c r="BS517" s="40"/>
      <c r="BT517" s="40"/>
      <c r="BU517" s="40"/>
      <c r="BV517" s="40"/>
      <c r="BW517" s="40"/>
      <c r="BX517" s="40"/>
      <c r="BY517" s="40"/>
      <c r="BZ517" s="40"/>
      <c r="CA517" s="40"/>
      <c r="CB517" s="40"/>
      <c r="CC517" s="40"/>
      <c r="CD517" s="40"/>
      <c r="CE517" s="40"/>
      <c r="CF517" s="40"/>
      <c r="CG517" s="40"/>
      <c r="CH517" s="40"/>
      <c r="CI517" s="40"/>
      <c r="CJ517" s="40"/>
      <c r="CK517" s="40"/>
      <c r="CL517" s="40"/>
      <c r="CM517" s="40"/>
      <c r="CN517" s="40"/>
      <c r="CO517" s="40"/>
      <c r="CP517" s="40"/>
      <c r="CQ517" s="40"/>
      <c r="CR517" s="40"/>
      <c r="CS517" s="40"/>
    </row>
    <row r="518" spans="1:97">
      <c r="A518" s="397"/>
      <c r="B518" s="397"/>
      <c r="C518" s="397"/>
      <c r="D518" s="397"/>
      <c r="E518" s="397"/>
      <c r="F518" s="397"/>
      <c r="G518" s="180"/>
      <c r="H518" s="46"/>
      <c r="I518" s="53"/>
      <c r="J518" s="53"/>
      <c r="K518" s="192"/>
      <c r="L518" s="192"/>
      <c r="M518" s="192"/>
      <c r="N518" s="192"/>
      <c r="O518" s="192"/>
      <c r="P518" s="192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  <c r="AN518" s="40"/>
      <c r="AO518" s="40"/>
      <c r="AP518" s="40"/>
      <c r="AQ518" s="40"/>
      <c r="AR518" s="40"/>
      <c r="AS518" s="40"/>
      <c r="AT518" s="40"/>
      <c r="AU518" s="40"/>
      <c r="AV518" s="40"/>
      <c r="AW518" s="40"/>
      <c r="AX518" s="40"/>
      <c r="AY518" s="40"/>
      <c r="AZ518" s="40"/>
      <c r="BA518" s="40"/>
      <c r="BB518" s="40"/>
      <c r="BC518" s="40"/>
      <c r="BD518" s="40"/>
      <c r="BE518" s="40"/>
      <c r="BF518" s="40"/>
      <c r="BG518" s="40"/>
      <c r="BH518" s="40"/>
      <c r="BI518" s="40"/>
      <c r="BJ518" s="40"/>
      <c r="BK518" s="40"/>
      <c r="BL518" s="40"/>
      <c r="BM518" s="40"/>
      <c r="BN518" s="40"/>
      <c r="BO518" s="40"/>
      <c r="BP518" s="40"/>
      <c r="BQ518" s="40"/>
      <c r="BR518" s="40"/>
      <c r="BS518" s="40"/>
      <c r="BT518" s="40"/>
      <c r="BU518" s="40"/>
      <c r="BV518" s="40"/>
      <c r="BW518" s="40"/>
      <c r="BX518" s="40"/>
      <c r="BY518" s="40"/>
      <c r="BZ518" s="40"/>
      <c r="CA518" s="40"/>
      <c r="CB518" s="40"/>
      <c r="CC518" s="40"/>
      <c r="CD518" s="40"/>
      <c r="CE518" s="40"/>
      <c r="CF518" s="40"/>
      <c r="CG518" s="40"/>
      <c r="CH518" s="40"/>
      <c r="CI518" s="40"/>
      <c r="CJ518" s="40"/>
      <c r="CK518" s="40"/>
      <c r="CL518" s="40"/>
      <c r="CM518" s="40"/>
      <c r="CN518" s="40"/>
      <c r="CO518" s="40"/>
      <c r="CP518" s="40"/>
      <c r="CQ518" s="40"/>
      <c r="CR518" s="40"/>
      <c r="CS518" s="40"/>
    </row>
    <row r="519" spans="1:97">
      <c r="A519" s="397"/>
      <c r="B519" s="397"/>
      <c r="C519" s="397"/>
      <c r="D519" s="397"/>
      <c r="E519" s="397"/>
      <c r="F519" s="397"/>
      <c r="G519" s="180"/>
      <c r="H519" s="46"/>
      <c r="I519" s="53"/>
      <c r="J519" s="53"/>
      <c r="K519" s="192"/>
      <c r="L519" s="192"/>
      <c r="M519" s="192"/>
      <c r="N519" s="192"/>
      <c r="O519" s="192"/>
      <c r="P519" s="192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  <c r="AJ519" s="40"/>
      <c r="AK519" s="40"/>
      <c r="AL519" s="40"/>
      <c r="AM519" s="40"/>
      <c r="AN519" s="40"/>
      <c r="AO519" s="40"/>
      <c r="AP519" s="40"/>
      <c r="AQ519" s="40"/>
      <c r="AR519" s="40"/>
      <c r="AS519" s="40"/>
      <c r="AT519" s="40"/>
      <c r="AU519" s="40"/>
      <c r="AV519" s="40"/>
      <c r="AW519" s="40"/>
      <c r="AX519" s="40"/>
      <c r="AY519" s="40"/>
      <c r="AZ519" s="40"/>
      <c r="BA519" s="40"/>
      <c r="BB519" s="40"/>
      <c r="BC519" s="40"/>
      <c r="BD519" s="40"/>
      <c r="BE519" s="40"/>
      <c r="BF519" s="40"/>
      <c r="BG519" s="40"/>
      <c r="BH519" s="40"/>
      <c r="BI519" s="40"/>
      <c r="BJ519" s="40"/>
      <c r="BK519" s="40"/>
      <c r="BL519" s="40"/>
      <c r="BM519" s="40"/>
      <c r="BN519" s="40"/>
      <c r="BO519" s="40"/>
      <c r="BP519" s="40"/>
      <c r="BQ519" s="40"/>
      <c r="BR519" s="40"/>
      <c r="BS519" s="40"/>
      <c r="BT519" s="40"/>
      <c r="BU519" s="40"/>
      <c r="BV519" s="40"/>
      <c r="BW519" s="40"/>
      <c r="BX519" s="40"/>
      <c r="BY519" s="40"/>
      <c r="BZ519" s="40"/>
      <c r="CA519" s="40"/>
      <c r="CB519" s="40"/>
      <c r="CC519" s="40"/>
      <c r="CD519" s="40"/>
      <c r="CE519" s="40"/>
      <c r="CF519" s="40"/>
      <c r="CG519" s="40"/>
      <c r="CH519" s="40"/>
      <c r="CI519" s="40"/>
      <c r="CJ519" s="40"/>
      <c r="CK519" s="40"/>
      <c r="CL519" s="40"/>
      <c r="CM519" s="40"/>
      <c r="CN519" s="40"/>
      <c r="CO519" s="40"/>
      <c r="CP519" s="40"/>
      <c r="CQ519" s="40"/>
      <c r="CR519" s="40"/>
      <c r="CS519" s="40"/>
    </row>
    <row r="520" spans="1:97">
      <c r="A520" s="397"/>
      <c r="B520" s="397"/>
      <c r="C520" s="397"/>
      <c r="D520" s="397"/>
      <c r="E520" s="397"/>
      <c r="F520" s="397"/>
      <c r="G520" s="180"/>
      <c r="H520" s="46"/>
      <c r="I520" s="53"/>
      <c r="J520" s="53"/>
      <c r="K520" s="192"/>
      <c r="L520" s="192"/>
      <c r="M520" s="192"/>
      <c r="N520" s="192"/>
      <c r="O520" s="192"/>
      <c r="P520" s="192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/>
      <c r="AO520" s="40"/>
      <c r="AP520" s="40"/>
      <c r="AQ520" s="40"/>
      <c r="AR520" s="40"/>
      <c r="AS520" s="40"/>
      <c r="AT520" s="40"/>
      <c r="AU520" s="40"/>
      <c r="AV520" s="40"/>
      <c r="AW520" s="40"/>
      <c r="AX520" s="40"/>
      <c r="AY520" s="40"/>
      <c r="AZ520" s="40"/>
      <c r="BA520" s="40"/>
      <c r="BB520" s="40"/>
      <c r="BC520" s="40"/>
      <c r="BD520" s="40"/>
      <c r="BE520" s="40"/>
      <c r="BF520" s="40"/>
      <c r="BG520" s="40"/>
      <c r="BH520" s="40"/>
      <c r="BI520" s="40"/>
      <c r="BJ520" s="40"/>
      <c r="BK520" s="40"/>
      <c r="BL520" s="40"/>
      <c r="BM520" s="40"/>
      <c r="BN520" s="40"/>
      <c r="BO520" s="40"/>
      <c r="BP520" s="40"/>
      <c r="BQ520" s="40"/>
      <c r="BR520" s="40"/>
      <c r="BS520" s="40"/>
      <c r="BT520" s="40"/>
      <c r="BU520" s="40"/>
      <c r="BV520" s="40"/>
      <c r="BW520" s="40"/>
      <c r="BX520" s="40"/>
      <c r="BY520" s="40"/>
      <c r="BZ520" s="40"/>
      <c r="CA520" s="40"/>
      <c r="CB520" s="40"/>
      <c r="CC520" s="40"/>
      <c r="CD520" s="40"/>
      <c r="CE520" s="40"/>
      <c r="CF520" s="40"/>
      <c r="CG520" s="40"/>
      <c r="CH520" s="40"/>
      <c r="CI520" s="40"/>
      <c r="CJ520" s="40"/>
      <c r="CK520" s="40"/>
      <c r="CL520" s="40"/>
      <c r="CM520" s="40"/>
      <c r="CN520" s="40"/>
      <c r="CO520" s="40"/>
      <c r="CP520" s="40"/>
      <c r="CQ520" s="40"/>
      <c r="CR520" s="40"/>
      <c r="CS520" s="40"/>
    </row>
    <row r="521" spans="1:97">
      <c r="A521" s="397"/>
      <c r="B521" s="397"/>
      <c r="C521" s="397"/>
      <c r="D521" s="397"/>
      <c r="E521" s="397"/>
      <c r="F521" s="397"/>
      <c r="G521" s="180"/>
      <c r="H521" s="46"/>
      <c r="I521" s="53"/>
      <c r="J521" s="53"/>
      <c r="K521" s="192"/>
      <c r="L521" s="192"/>
      <c r="M521" s="192"/>
      <c r="N521" s="192"/>
      <c r="O521" s="192"/>
      <c r="P521" s="192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  <c r="AJ521" s="40"/>
      <c r="AK521" s="40"/>
      <c r="AL521" s="40"/>
      <c r="AM521" s="40"/>
      <c r="AN521" s="40"/>
      <c r="AO521" s="40"/>
      <c r="AP521" s="40"/>
      <c r="AQ521" s="40"/>
      <c r="AR521" s="40"/>
      <c r="AS521" s="40"/>
      <c r="AT521" s="40"/>
      <c r="AU521" s="40"/>
      <c r="AV521" s="40"/>
      <c r="AW521" s="40"/>
      <c r="AX521" s="40"/>
      <c r="AY521" s="40"/>
      <c r="AZ521" s="40"/>
      <c r="BA521" s="40"/>
      <c r="BB521" s="40"/>
      <c r="BC521" s="40"/>
      <c r="BD521" s="40"/>
      <c r="BE521" s="40"/>
      <c r="BF521" s="40"/>
      <c r="BG521" s="40"/>
      <c r="BH521" s="40"/>
      <c r="BI521" s="40"/>
      <c r="BJ521" s="40"/>
      <c r="BK521" s="40"/>
      <c r="BL521" s="40"/>
      <c r="BM521" s="40"/>
      <c r="BN521" s="40"/>
      <c r="BO521" s="40"/>
      <c r="BP521" s="40"/>
      <c r="BQ521" s="40"/>
      <c r="BR521" s="40"/>
      <c r="BS521" s="40"/>
      <c r="BT521" s="40"/>
      <c r="BU521" s="40"/>
      <c r="BV521" s="40"/>
      <c r="BW521" s="40"/>
      <c r="BX521" s="40"/>
      <c r="BY521" s="40"/>
      <c r="BZ521" s="40"/>
      <c r="CA521" s="40"/>
      <c r="CB521" s="40"/>
      <c r="CC521" s="40"/>
      <c r="CD521" s="40"/>
      <c r="CE521" s="40"/>
      <c r="CF521" s="40"/>
      <c r="CG521" s="40"/>
      <c r="CH521" s="40"/>
      <c r="CI521" s="40"/>
      <c r="CJ521" s="40"/>
      <c r="CK521" s="40"/>
      <c r="CL521" s="40"/>
      <c r="CM521" s="40"/>
      <c r="CN521" s="40"/>
      <c r="CO521" s="40"/>
      <c r="CP521" s="40"/>
      <c r="CQ521" s="40"/>
      <c r="CR521" s="40"/>
      <c r="CS521" s="40"/>
    </row>
    <row r="522" spans="1:97">
      <c r="A522" s="397"/>
      <c r="B522" s="397"/>
      <c r="C522" s="397"/>
      <c r="D522" s="397"/>
      <c r="E522" s="397"/>
      <c r="F522" s="397"/>
      <c r="G522" s="180"/>
      <c r="H522" s="46"/>
      <c r="I522" s="53"/>
      <c r="J522" s="53"/>
      <c r="K522" s="192"/>
      <c r="L522" s="192"/>
      <c r="M522" s="192"/>
      <c r="N522" s="192"/>
      <c r="O522" s="192"/>
      <c r="P522" s="192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  <c r="AK522" s="40"/>
      <c r="AL522" s="40"/>
      <c r="AM522" s="40"/>
      <c r="AN522" s="40"/>
      <c r="AO522" s="40"/>
      <c r="AP522" s="40"/>
      <c r="AQ522" s="40"/>
      <c r="AR522" s="40"/>
      <c r="AS522" s="40"/>
      <c r="AT522" s="40"/>
      <c r="AU522" s="40"/>
      <c r="AV522" s="40"/>
      <c r="AW522" s="40"/>
      <c r="AX522" s="40"/>
      <c r="AY522" s="40"/>
      <c r="AZ522" s="40"/>
      <c r="BA522" s="40"/>
      <c r="BB522" s="40"/>
      <c r="BC522" s="40"/>
      <c r="BD522" s="40"/>
      <c r="BE522" s="40"/>
      <c r="BF522" s="40"/>
      <c r="BG522" s="40"/>
      <c r="BH522" s="40"/>
      <c r="BI522" s="40"/>
      <c r="BJ522" s="40"/>
      <c r="BK522" s="40"/>
      <c r="BL522" s="40"/>
      <c r="BM522" s="40"/>
      <c r="BN522" s="40"/>
      <c r="BO522" s="40"/>
      <c r="BP522" s="40"/>
      <c r="BQ522" s="40"/>
      <c r="BR522" s="40"/>
      <c r="BS522" s="40"/>
      <c r="BT522" s="40"/>
      <c r="BU522" s="40"/>
      <c r="BV522" s="40"/>
      <c r="BW522" s="40"/>
      <c r="BX522" s="40"/>
      <c r="BY522" s="40"/>
      <c r="BZ522" s="40"/>
      <c r="CA522" s="40"/>
      <c r="CB522" s="40"/>
      <c r="CC522" s="40"/>
      <c r="CD522" s="40"/>
      <c r="CE522" s="40"/>
      <c r="CF522" s="40"/>
      <c r="CG522" s="40"/>
      <c r="CH522" s="40"/>
      <c r="CI522" s="40"/>
      <c r="CJ522" s="40"/>
      <c r="CK522" s="40"/>
      <c r="CL522" s="40"/>
      <c r="CM522" s="40"/>
      <c r="CN522" s="40"/>
      <c r="CO522" s="40"/>
      <c r="CP522" s="40"/>
      <c r="CQ522" s="40"/>
      <c r="CR522" s="40"/>
      <c r="CS522" s="40"/>
    </row>
    <row r="523" spans="1:97">
      <c r="A523" s="397"/>
      <c r="B523" s="397"/>
      <c r="C523" s="397"/>
      <c r="D523" s="397"/>
      <c r="E523" s="397"/>
      <c r="F523" s="397"/>
      <c r="G523" s="180"/>
      <c r="H523" s="46"/>
      <c r="I523" s="53"/>
      <c r="J523" s="53"/>
      <c r="K523" s="192"/>
      <c r="L523" s="192"/>
      <c r="M523" s="192"/>
      <c r="N523" s="192"/>
      <c r="O523" s="192"/>
      <c r="P523" s="192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  <c r="AM523" s="40"/>
      <c r="AN523" s="40"/>
      <c r="AO523" s="40"/>
      <c r="AP523" s="40"/>
      <c r="AQ523" s="40"/>
      <c r="AR523" s="40"/>
      <c r="AS523" s="40"/>
      <c r="AT523" s="40"/>
      <c r="AU523" s="40"/>
      <c r="AV523" s="40"/>
      <c r="AW523" s="40"/>
      <c r="AX523" s="40"/>
      <c r="AY523" s="40"/>
      <c r="AZ523" s="40"/>
      <c r="BA523" s="40"/>
      <c r="BB523" s="40"/>
      <c r="BC523" s="40"/>
      <c r="BD523" s="40"/>
      <c r="BE523" s="40"/>
      <c r="BF523" s="40"/>
      <c r="BG523" s="40"/>
      <c r="BH523" s="40"/>
      <c r="BI523" s="40"/>
      <c r="BJ523" s="40"/>
      <c r="BK523" s="40"/>
      <c r="BL523" s="40"/>
      <c r="BM523" s="40"/>
      <c r="BN523" s="40"/>
      <c r="BO523" s="40"/>
      <c r="BP523" s="40"/>
      <c r="BQ523" s="40"/>
      <c r="BR523" s="40"/>
      <c r="BS523" s="40"/>
      <c r="BT523" s="40"/>
      <c r="BU523" s="40"/>
      <c r="BV523" s="40"/>
      <c r="BW523" s="40"/>
      <c r="BX523" s="40"/>
      <c r="BY523" s="40"/>
      <c r="BZ523" s="40"/>
      <c r="CA523" s="40"/>
      <c r="CB523" s="40"/>
      <c r="CC523" s="40"/>
      <c r="CD523" s="40"/>
      <c r="CE523" s="40"/>
      <c r="CF523" s="40"/>
      <c r="CG523" s="40"/>
      <c r="CH523" s="40"/>
      <c r="CI523" s="40"/>
      <c r="CJ523" s="40"/>
      <c r="CK523" s="40"/>
      <c r="CL523" s="40"/>
      <c r="CM523" s="40"/>
      <c r="CN523" s="40"/>
      <c r="CO523" s="40"/>
      <c r="CP523" s="40"/>
      <c r="CQ523" s="40"/>
      <c r="CR523" s="40"/>
      <c r="CS523" s="40"/>
    </row>
    <row r="524" spans="1:97">
      <c r="A524" s="397"/>
      <c r="B524" s="397"/>
      <c r="C524" s="397"/>
      <c r="D524" s="397"/>
      <c r="E524" s="397"/>
      <c r="F524" s="397"/>
      <c r="G524" s="180"/>
      <c r="H524" s="46"/>
      <c r="I524" s="53"/>
      <c r="J524" s="53"/>
      <c r="K524" s="192"/>
      <c r="L524" s="192"/>
      <c r="M524" s="192"/>
      <c r="N524" s="192"/>
      <c r="O524" s="192"/>
      <c r="P524" s="192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  <c r="AM524" s="40"/>
      <c r="AN524" s="40"/>
      <c r="AO524" s="40"/>
      <c r="AP524" s="40"/>
      <c r="AQ524" s="40"/>
      <c r="AR524" s="40"/>
      <c r="AS524" s="40"/>
      <c r="AT524" s="40"/>
      <c r="AU524" s="40"/>
      <c r="AV524" s="40"/>
      <c r="AW524" s="40"/>
      <c r="AX524" s="40"/>
      <c r="AY524" s="40"/>
      <c r="AZ524" s="40"/>
      <c r="BA524" s="40"/>
      <c r="BB524" s="40"/>
      <c r="BC524" s="40"/>
      <c r="BD524" s="40"/>
      <c r="BE524" s="40"/>
      <c r="BF524" s="40"/>
      <c r="BG524" s="40"/>
      <c r="BH524" s="40"/>
      <c r="BI524" s="40"/>
      <c r="BJ524" s="40"/>
      <c r="BK524" s="40"/>
      <c r="BL524" s="40"/>
      <c r="BM524" s="40"/>
      <c r="BN524" s="40"/>
      <c r="BO524" s="40"/>
      <c r="BP524" s="40"/>
      <c r="BQ524" s="40"/>
      <c r="BR524" s="40"/>
      <c r="BS524" s="40"/>
      <c r="BT524" s="40"/>
      <c r="BU524" s="40"/>
      <c r="BV524" s="40"/>
      <c r="BW524" s="40"/>
      <c r="BX524" s="40"/>
      <c r="BY524" s="40"/>
      <c r="BZ524" s="40"/>
      <c r="CA524" s="40"/>
      <c r="CB524" s="40"/>
      <c r="CC524" s="40"/>
      <c r="CD524" s="40"/>
      <c r="CE524" s="40"/>
      <c r="CF524" s="40"/>
      <c r="CG524" s="40"/>
      <c r="CH524" s="40"/>
      <c r="CI524" s="40"/>
      <c r="CJ524" s="40"/>
      <c r="CK524" s="40"/>
      <c r="CL524" s="40"/>
      <c r="CM524" s="40"/>
      <c r="CN524" s="40"/>
      <c r="CO524" s="40"/>
      <c r="CP524" s="40"/>
      <c r="CQ524" s="40"/>
      <c r="CR524" s="40"/>
      <c r="CS524" s="40"/>
    </row>
    <row r="525" spans="1:97">
      <c r="A525" s="397"/>
      <c r="B525" s="397"/>
      <c r="C525" s="397"/>
      <c r="D525" s="397"/>
      <c r="E525" s="397"/>
      <c r="F525" s="397"/>
      <c r="G525" s="180"/>
      <c r="H525" s="46"/>
      <c r="I525" s="53"/>
      <c r="J525" s="53"/>
      <c r="K525" s="192"/>
      <c r="L525" s="192"/>
      <c r="M525" s="192"/>
      <c r="N525" s="192"/>
      <c r="O525" s="192"/>
      <c r="P525" s="192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  <c r="AK525" s="40"/>
      <c r="AL525" s="40"/>
      <c r="AM525" s="40"/>
      <c r="AN525" s="40"/>
      <c r="AO525" s="40"/>
      <c r="AP525" s="40"/>
      <c r="AQ525" s="40"/>
      <c r="AR525" s="40"/>
      <c r="AS525" s="40"/>
      <c r="AT525" s="40"/>
      <c r="AU525" s="40"/>
      <c r="AV525" s="40"/>
      <c r="AW525" s="40"/>
      <c r="AX525" s="40"/>
      <c r="AY525" s="40"/>
      <c r="AZ525" s="40"/>
      <c r="BA525" s="40"/>
      <c r="BB525" s="40"/>
      <c r="BC525" s="40"/>
      <c r="BD525" s="40"/>
      <c r="BE525" s="40"/>
      <c r="BF525" s="40"/>
      <c r="BG525" s="40"/>
      <c r="BH525" s="40"/>
      <c r="BI525" s="40"/>
      <c r="BJ525" s="40"/>
      <c r="BK525" s="40"/>
      <c r="BL525" s="40"/>
      <c r="BM525" s="40"/>
      <c r="BN525" s="40"/>
      <c r="BO525" s="40"/>
      <c r="BP525" s="40"/>
      <c r="BQ525" s="40"/>
      <c r="BR525" s="40"/>
      <c r="BS525" s="40"/>
      <c r="BT525" s="40"/>
      <c r="BU525" s="40"/>
      <c r="BV525" s="40"/>
      <c r="BW525" s="40"/>
      <c r="BX525" s="40"/>
      <c r="BY525" s="40"/>
      <c r="BZ525" s="40"/>
      <c r="CA525" s="40"/>
      <c r="CB525" s="40"/>
      <c r="CC525" s="40"/>
      <c r="CD525" s="40"/>
      <c r="CE525" s="40"/>
      <c r="CF525" s="40"/>
      <c r="CG525" s="40"/>
      <c r="CH525" s="40"/>
      <c r="CI525" s="40"/>
      <c r="CJ525" s="40"/>
      <c r="CK525" s="40"/>
      <c r="CL525" s="40"/>
      <c r="CM525" s="40"/>
      <c r="CN525" s="40"/>
      <c r="CO525" s="40"/>
      <c r="CP525" s="40"/>
      <c r="CQ525" s="40"/>
      <c r="CR525" s="40"/>
      <c r="CS525" s="40"/>
    </row>
    <row r="526" spans="1:97">
      <c r="A526" s="397"/>
      <c r="B526" s="397"/>
      <c r="C526" s="397"/>
      <c r="D526" s="397"/>
      <c r="E526" s="397"/>
      <c r="F526" s="397"/>
      <c r="G526" s="180"/>
      <c r="H526" s="46"/>
      <c r="I526" s="53"/>
      <c r="J526" s="53"/>
      <c r="K526" s="192"/>
      <c r="L526" s="192"/>
      <c r="M526" s="192"/>
      <c r="N526" s="192"/>
      <c r="O526" s="192"/>
      <c r="P526" s="192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  <c r="AJ526" s="40"/>
      <c r="AK526" s="40"/>
      <c r="AL526" s="40"/>
      <c r="AM526" s="40"/>
      <c r="AN526" s="40"/>
      <c r="AO526" s="40"/>
      <c r="AP526" s="40"/>
      <c r="AQ526" s="40"/>
      <c r="AR526" s="40"/>
      <c r="AS526" s="40"/>
      <c r="AT526" s="40"/>
      <c r="AU526" s="40"/>
      <c r="AV526" s="40"/>
      <c r="AW526" s="40"/>
      <c r="AX526" s="40"/>
      <c r="AY526" s="40"/>
      <c r="AZ526" s="40"/>
      <c r="BA526" s="40"/>
      <c r="BB526" s="40"/>
      <c r="BC526" s="40"/>
      <c r="BD526" s="40"/>
      <c r="BE526" s="40"/>
      <c r="BF526" s="40"/>
      <c r="BG526" s="40"/>
      <c r="BH526" s="40"/>
      <c r="BI526" s="40"/>
      <c r="BJ526" s="40"/>
      <c r="BK526" s="40"/>
      <c r="BL526" s="40"/>
      <c r="BM526" s="40"/>
      <c r="BN526" s="40"/>
      <c r="BO526" s="40"/>
      <c r="BP526" s="40"/>
      <c r="BQ526" s="40"/>
      <c r="BR526" s="40"/>
      <c r="BS526" s="40"/>
      <c r="BT526" s="40"/>
      <c r="BU526" s="40"/>
      <c r="BV526" s="40"/>
      <c r="BW526" s="40"/>
      <c r="BX526" s="40"/>
      <c r="BY526" s="40"/>
      <c r="BZ526" s="40"/>
      <c r="CA526" s="40"/>
      <c r="CB526" s="40"/>
      <c r="CC526" s="40"/>
      <c r="CD526" s="40"/>
      <c r="CE526" s="40"/>
      <c r="CF526" s="40"/>
      <c r="CG526" s="40"/>
      <c r="CH526" s="40"/>
      <c r="CI526" s="40"/>
      <c r="CJ526" s="40"/>
      <c r="CK526" s="40"/>
      <c r="CL526" s="40"/>
      <c r="CM526" s="40"/>
      <c r="CN526" s="40"/>
      <c r="CO526" s="40"/>
      <c r="CP526" s="40"/>
      <c r="CQ526" s="40"/>
      <c r="CR526" s="40"/>
      <c r="CS526" s="40"/>
    </row>
    <row r="527" spans="1:97">
      <c r="A527" s="397"/>
      <c r="B527" s="397"/>
      <c r="C527" s="397"/>
      <c r="D527" s="397"/>
      <c r="E527" s="397"/>
      <c r="F527" s="397"/>
      <c r="G527" s="180"/>
      <c r="H527" s="46"/>
      <c r="I527" s="53"/>
      <c r="J527" s="53"/>
      <c r="K527" s="192"/>
      <c r="L527" s="192"/>
      <c r="M527" s="192"/>
      <c r="N527" s="192"/>
      <c r="O527" s="192"/>
      <c r="P527" s="192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  <c r="AJ527" s="40"/>
      <c r="AK527" s="40"/>
      <c r="AL527" s="40"/>
      <c r="AM527" s="40"/>
      <c r="AN527" s="40"/>
      <c r="AO527" s="40"/>
      <c r="AP527" s="40"/>
      <c r="AQ527" s="40"/>
      <c r="AR527" s="40"/>
      <c r="AS527" s="40"/>
      <c r="AT527" s="40"/>
      <c r="AU527" s="40"/>
      <c r="AV527" s="40"/>
      <c r="AW527" s="40"/>
      <c r="AX527" s="40"/>
      <c r="AY527" s="40"/>
      <c r="AZ527" s="40"/>
      <c r="BA527" s="40"/>
      <c r="BB527" s="40"/>
      <c r="BC527" s="40"/>
      <c r="BD527" s="40"/>
      <c r="BE527" s="40"/>
      <c r="BF527" s="40"/>
      <c r="BG527" s="40"/>
      <c r="BH527" s="40"/>
      <c r="BI527" s="40"/>
      <c r="BJ527" s="40"/>
      <c r="BK527" s="40"/>
      <c r="BL527" s="40"/>
      <c r="BM527" s="40"/>
      <c r="BN527" s="40"/>
      <c r="BO527" s="40"/>
      <c r="BP527" s="40"/>
      <c r="BQ527" s="40"/>
      <c r="BR527" s="40"/>
      <c r="BS527" s="40"/>
      <c r="BT527" s="40"/>
      <c r="BU527" s="40"/>
      <c r="BV527" s="40"/>
      <c r="BW527" s="40"/>
      <c r="BX527" s="40"/>
      <c r="BY527" s="40"/>
      <c r="BZ527" s="40"/>
      <c r="CA527" s="40"/>
      <c r="CB527" s="40"/>
      <c r="CC527" s="40"/>
      <c r="CD527" s="40"/>
      <c r="CE527" s="40"/>
      <c r="CF527" s="40"/>
      <c r="CG527" s="40"/>
      <c r="CH527" s="40"/>
      <c r="CI527" s="40"/>
      <c r="CJ527" s="40"/>
      <c r="CK527" s="40"/>
      <c r="CL527" s="40"/>
      <c r="CM527" s="40"/>
      <c r="CN527" s="40"/>
      <c r="CO527" s="40"/>
      <c r="CP527" s="40"/>
      <c r="CQ527" s="40"/>
      <c r="CR527" s="40"/>
      <c r="CS527" s="40"/>
    </row>
    <row r="528" spans="1:97">
      <c r="A528" s="397"/>
      <c r="B528" s="397"/>
      <c r="C528" s="397"/>
      <c r="D528" s="397"/>
      <c r="E528" s="397"/>
      <c r="F528" s="397"/>
      <c r="G528" s="180"/>
      <c r="H528" s="46"/>
      <c r="I528" s="53"/>
      <c r="J528" s="53"/>
      <c r="K528" s="192"/>
      <c r="L528" s="192"/>
      <c r="M528" s="192"/>
      <c r="N528" s="192"/>
      <c r="O528" s="192"/>
      <c r="P528" s="192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  <c r="AK528" s="40"/>
      <c r="AL528" s="40"/>
      <c r="AM528" s="40"/>
      <c r="AN528" s="40"/>
      <c r="AO528" s="40"/>
      <c r="AP528" s="40"/>
      <c r="AQ528" s="40"/>
      <c r="AR528" s="40"/>
      <c r="AS528" s="40"/>
      <c r="AT528" s="40"/>
      <c r="AU528" s="40"/>
      <c r="AV528" s="40"/>
      <c r="AW528" s="40"/>
      <c r="AX528" s="40"/>
      <c r="AY528" s="40"/>
      <c r="AZ528" s="40"/>
      <c r="BA528" s="40"/>
      <c r="BB528" s="40"/>
      <c r="BC528" s="40"/>
      <c r="BD528" s="40"/>
      <c r="BE528" s="40"/>
      <c r="BF528" s="40"/>
      <c r="BG528" s="40"/>
      <c r="BH528" s="40"/>
      <c r="BI528" s="40"/>
      <c r="BJ528" s="40"/>
      <c r="BK528" s="40"/>
      <c r="BL528" s="40"/>
      <c r="BM528" s="40"/>
      <c r="BN528" s="40"/>
      <c r="BO528" s="40"/>
      <c r="BP528" s="40"/>
      <c r="BQ528" s="40"/>
      <c r="BR528" s="40"/>
      <c r="BS528" s="40"/>
      <c r="BT528" s="40"/>
      <c r="BU528" s="40"/>
      <c r="BV528" s="40"/>
      <c r="BW528" s="40"/>
      <c r="BX528" s="40"/>
      <c r="BY528" s="40"/>
      <c r="BZ528" s="40"/>
      <c r="CA528" s="40"/>
      <c r="CB528" s="40"/>
      <c r="CC528" s="40"/>
      <c r="CD528" s="40"/>
      <c r="CE528" s="40"/>
      <c r="CF528" s="40"/>
      <c r="CG528" s="40"/>
      <c r="CH528" s="40"/>
      <c r="CI528" s="40"/>
      <c r="CJ528" s="40"/>
      <c r="CK528" s="40"/>
      <c r="CL528" s="40"/>
      <c r="CM528" s="40"/>
      <c r="CN528" s="40"/>
      <c r="CO528" s="40"/>
      <c r="CP528" s="40"/>
      <c r="CQ528" s="40"/>
      <c r="CR528" s="40"/>
      <c r="CS528" s="40"/>
    </row>
    <row r="529" spans="1:97">
      <c r="A529" s="397"/>
      <c r="B529" s="397"/>
      <c r="C529" s="397"/>
      <c r="D529" s="397"/>
      <c r="E529" s="397"/>
      <c r="F529" s="397"/>
      <c r="G529" s="180"/>
      <c r="H529" s="46"/>
      <c r="I529" s="53"/>
      <c r="J529" s="53"/>
      <c r="K529" s="192"/>
      <c r="L529" s="192"/>
      <c r="M529" s="192"/>
      <c r="N529" s="192"/>
      <c r="O529" s="192"/>
      <c r="P529" s="192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  <c r="AM529" s="40"/>
      <c r="AN529" s="40"/>
      <c r="AO529" s="40"/>
      <c r="AP529" s="40"/>
      <c r="AQ529" s="40"/>
      <c r="AR529" s="40"/>
      <c r="AS529" s="40"/>
      <c r="AT529" s="40"/>
      <c r="AU529" s="40"/>
      <c r="AV529" s="40"/>
      <c r="AW529" s="40"/>
      <c r="AX529" s="40"/>
      <c r="AY529" s="40"/>
      <c r="AZ529" s="40"/>
      <c r="BA529" s="40"/>
      <c r="BB529" s="40"/>
      <c r="BC529" s="40"/>
      <c r="BD529" s="40"/>
      <c r="BE529" s="40"/>
      <c r="BF529" s="40"/>
      <c r="BG529" s="40"/>
      <c r="BH529" s="40"/>
      <c r="BI529" s="40"/>
      <c r="BJ529" s="40"/>
      <c r="BK529" s="40"/>
      <c r="BL529" s="40"/>
      <c r="BM529" s="40"/>
      <c r="BN529" s="40"/>
      <c r="BO529" s="40"/>
      <c r="BP529" s="40"/>
      <c r="BQ529" s="40"/>
      <c r="BR529" s="40"/>
      <c r="BS529" s="40"/>
      <c r="BT529" s="40"/>
      <c r="BU529" s="40"/>
      <c r="BV529" s="40"/>
      <c r="BW529" s="40"/>
      <c r="BX529" s="40"/>
      <c r="BY529" s="40"/>
      <c r="BZ529" s="40"/>
      <c r="CA529" s="40"/>
      <c r="CB529" s="40"/>
      <c r="CC529" s="40"/>
      <c r="CD529" s="40"/>
      <c r="CE529" s="40"/>
      <c r="CF529" s="40"/>
      <c r="CG529" s="40"/>
      <c r="CH529" s="40"/>
      <c r="CI529" s="40"/>
      <c r="CJ529" s="40"/>
      <c r="CK529" s="40"/>
      <c r="CL529" s="40"/>
      <c r="CM529" s="40"/>
      <c r="CN529" s="40"/>
      <c r="CO529" s="40"/>
      <c r="CP529" s="40"/>
      <c r="CQ529" s="40"/>
      <c r="CR529" s="40"/>
      <c r="CS529" s="40"/>
    </row>
    <row r="530" spans="1:97">
      <c r="A530" s="397"/>
      <c r="B530" s="397"/>
      <c r="C530" s="397"/>
      <c r="D530" s="397"/>
      <c r="E530" s="397"/>
      <c r="F530" s="397"/>
      <c r="G530" s="180"/>
      <c r="H530" s="46"/>
      <c r="I530" s="53"/>
      <c r="J530" s="53"/>
      <c r="K530" s="192"/>
      <c r="L530" s="192"/>
      <c r="M530" s="192"/>
      <c r="N530" s="192"/>
      <c r="O530" s="192"/>
      <c r="P530" s="192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  <c r="AJ530" s="40"/>
      <c r="AK530" s="40"/>
      <c r="AL530" s="40"/>
      <c r="AM530" s="40"/>
      <c r="AN530" s="40"/>
      <c r="AO530" s="40"/>
      <c r="AP530" s="40"/>
      <c r="AQ530" s="40"/>
      <c r="AR530" s="40"/>
      <c r="AS530" s="40"/>
      <c r="AT530" s="40"/>
      <c r="AU530" s="40"/>
      <c r="AV530" s="40"/>
      <c r="AW530" s="40"/>
      <c r="AX530" s="40"/>
      <c r="AY530" s="40"/>
      <c r="AZ530" s="40"/>
      <c r="BA530" s="40"/>
      <c r="BB530" s="40"/>
      <c r="BC530" s="40"/>
      <c r="BD530" s="40"/>
      <c r="BE530" s="40"/>
      <c r="BF530" s="40"/>
      <c r="BG530" s="40"/>
      <c r="BH530" s="40"/>
      <c r="BI530" s="40"/>
      <c r="BJ530" s="40"/>
      <c r="BK530" s="40"/>
      <c r="BL530" s="40"/>
      <c r="BM530" s="40"/>
      <c r="BN530" s="40"/>
      <c r="BO530" s="40"/>
      <c r="BP530" s="40"/>
      <c r="BQ530" s="40"/>
      <c r="BR530" s="40"/>
      <c r="BS530" s="40"/>
      <c r="BT530" s="40"/>
      <c r="BU530" s="40"/>
      <c r="BV530" s="40"/>
      <c r="BW530" s="40"/>
      <c r="BX530" s="40"/>
      <c r="BY530" s="40"/>
      <c r="BZ530" s="40"/>
      <c r="CA530" s="40"/>
      <c r="CB530" s="40"/>
      <c r="CC530" s="40"/>
      <c r="CD530" s="40"/>
      <c r="CE530" s="40"/>
      <c r="CF530" s="40"/>
      <c r="CG530" s="40"/>
      <c r="CH530" s="40"/>
      <c r="CI530" s="40"/>
      <c r="CJ530" s="40"/>
      <c r="CK530" s="40"/>
      <c r="CL530" s="40"/>
      <c r="CM530" s="40"/>
      <c r="CN530" s="40"/>
      <c r="CO530" s="40"/>
      <c r="CP530" s="40"/>
      <c r="CQ530" s="40"/>
      <c r="CR530" s="40"/>
      <c r="CS530" s="40"/>
    </row>
    <row r="531" spans="1:97">
      <c r="A531" s="397"/>
      <c r="B531" s="397"/>
      <c r="C531" s="397"/>
      <c r="D531" s="397"/>
      <c r="E531" s="397"/>
      <c r="F531" s="397"/>
      <c r="G531" s="180"/>
      <c r="H531" s="46"/>
      <c r="I531" s="53"/>
      <c r="J531" s="53"/>
      <c r="K531" s="192"/>
      <c r="L531" s="192"/>
      <c r="M531" s="192"/>
      <c r="N531" s="192"/>
      <c r="O531" s="192"/>
      <c r="P531" s="192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  <c r="AJ531" s="40"/>
      <c r="AK531" s="40"/>
      <c r="AL531" s="40"/>
      <c r="AM531" s="40"/>
      <c r="AN531" s="40"/>
      <c r="AO531" s="40"/>
      <c r="AP531" s="40"/>
      <c r="AQ531" s="40"/>
      <c r="AR531" s="40"/>
      <c r="AS531" s="40"/>
      <c r="AT531" s="40"/>
      <c r="AU531" s="40"/>
      <c r="AV531" s="40"/>
      <c r="AW531" s="40"/>
      <c r="AX531" s="40"/>
      <c r="AY531" s="40"/>
      <c r="AZ531" s="40"/>
      <c r="BA531" s="40"/>
      <c r="BB531" s="40"/>
      <c r="BC531" s="40"/>
      <c r="BD531" s="40"/>
      <c r="BE531" s="40"/>
      <c r="BF531" s="40"/>
      <c r="BG531" s="40"/>
      <c r="BH531" s="40"/>
      <c r="BI531" s="40"/>
      <c r="BJ531" s="40"/>
      <c r="BK531" s="40"/>
      <c r="BL531" s="40"/>
      <c r="BM531" s="40"/>
      <c r="BN531" s="40"/>
      <c r="BO531" s="40"/>
      <c r="BP531" s="40"/>
      <c r="BQ531" s="40"/>
      <c r="BR531" s="40"/>
      <c r="BS531" s="40"/>
      <c r="BT531" s="40"/>
      <c r="BU531" s="40"/>
      <c r="BV531" s="40"/>
      <c r="BW531" s="40"/>
      <c r="BX531" s="40"/>
      <c r="BY531" s="40"/>
      <c r="BZ531" s="40"/>
      <c r="CA531" s="40"/>
      <c r="CB531" s="40"/>
      <c r="CC531" s="40"/>
      <c r="CD531" s="40"/>
      <c r="CE531" s="40"/>
      <c r="CF531" s="40"/>
      <c r="CG531" s="40"/>
      <c r="CH531" s="40"/>
      <c r="CI531" s="40"/>
      <c r="CJ531" s="40"/>
      <c r="CK531" s="40"/>
      <c r="CL531" s="40"/>
      <c r="CM531" s="40"/>
      <c r="CN531" s="40"/>
      <c r="CO531" s="40"/>
      <c r="CP531" s="40"/>
      <c r="CQ531" s="40"/>
      <c r="CR531" s="40"/>
      <c r="CS531" s="40"/>
    </row>
    <row r="532" spans="1:97">
      <c r="A532" s="397"/>
      <c r="B532" s="397"/>
      <c r="C532" s="397"/>
      <c r="D532" s="397"/>
      <c r="E532" s="397"/>
      <c r="F532" s="397"/>
      <c r="G532" s="180"/>
      <c r="H532" s="46"/>
      <c r="I532" s="53"/>
      <c r="J532" s="53"/>
      <c r="K532" s="192"/>
      <c r="L532" s="192"/>
      <c r="M532" s="192"/>
      <c r="N532" s="192"/>
      <c r="O532" s="192"/>
      <c r="P532" s="192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  <c r="AM532" s="40"/>
      <c r="AN532" s="40"/>
      <c r="AO532" s="40"/>
      <c r="AP532" s="40"/>
      <c r="AQ532" s="40"/>
      <c r="AR532" s="40"/>
      <c r="AS532" s="40"/>
      <c r="AT532" s="40"/>
      <c r="AU532" s="40"/>
      <c r="AV532" s="40"/>
      <c r="AW532" s="40"/>
      <c r="AX532" s="40"/>
      <c r="AY532" s="40"/>
      <c r="AZ532" s="40"/>
      <c r="BA532" s="40"/>
      <c r="BB532" s="40"/>
      <c r="BC532" s="40"/>
      <c r="BD532" s="40"/>
      <c r="BE532" s="40"/>
      <c r="BF532" s="40"/>
      <c r="BG532" s="40"/>
      <c r="BH532" s="40"/>
      <c r="BI532" s="40"/>
      <c r="BJ532" s="40"/>
      <c r="BK532" s="40"/>
      <c r="BL532" s="40"/>
      <c r="BM532" s="40"/>
      <c r="BN532" s="40"/>
      <c r="BO532" s="40"/>
      <c r="BP532" s="40"/>
      <c r="BQ532" s="40"/>
      <c r="BR532" s="40"/>
      <c r="BS532" s="40"/>
      <c r="BT532" s="40"/>
      <c r="BU532" s="40"/>
      <c r="BV532" s="40"/>
      <c r="BW532" s="40"/>
      <c r="BX532" s="40"/>
      <c r="BY532" s="40"/>
      <c r="BZ532" s="40"/>
      <c r="CA532" s="40"/>
      <c r="CB532" s="40"/>
      <c r="CC532" s="40"/>
      <c r="CD532" s="40"/>
      <c r="CE532" s="40"/>
      <c r="CF532" s="40"/>
      <c r="CG532" s="40"/>
      <c r="CH532" s="40"/>
      <c r="CI532" s="40"/>
      <c r="CJ532" s="40"/>
      <c r="CK532" s="40"/>
      <c r="CL532" s="40"/>
      <c r="CM532" s="40"/>
      <c r="CN532" s="40"/>
      <c r="CO532" s="40"/>
      <c r="CP532" s="40"/>
      <c r="CQ532" s="40"/>
      <c r="CR532" s="40"/>
      <c r="CS532" s="40"/>
    </row>
    <row r="533" spans="1:97">
      <c r="A533" s="397"/>
      <c r="B533" s="397"/>
      <c r="C533" s="397"/>
      <c r="D533" s="397"/>
      <c r="E533" s="397"/>
      <c r="F533" s="397"/>
      <c r="G533" s="180"/>
      <c r="H533" s="46"/>
      <c r="I533" s="53"/>
      <c r="J533" s="53"/>
      <c r="K533" s="192"/>
      <c r="L533" s="192"/>
      <c r="M533" s="192"/>
      <c r="N533" s="192"/>
      <c r="O533" s="192"/>
      <c r="P533" s="192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0"/>
      <c r="AO533" s="40"/>
      <c r="AP533" s="40"/>
      <c r="AQ533" s="40"/>
      <c r="AR533" s="40"/>
      <c r="AS533" s="40"/>
      <c r="AT533" s="40"/>
      <c r="AU533" s="40"/>
      <c r="AV533" s="40"/>
      <c r="AW533" s="40"/>
      <c r="AX533" s="40"/>
      <c r="AY533" s="40"/>
      <c r="AZ533" s="40"/>
      <c r="BA533" s="40"/>
      <c r="BB533" s="40"/>
      <c r="BC533" s="40"/>
      <c r="BD533" s="40"/>
      <c r="BE533" s="40"/>
      <c r="BF533" s="40"/>
      <c r="BG533" s="40"/>
      <c r="BH533" s="40"/>
      <c r="BI533" s="40"/>
      <c r="BJ533" s="40"/>
      <c r="BK533" s="40"/>
      <c r="BL533" s="40"/>
      <c r="BM533" s="40"/>
      <c r="BN533" s="40"/>
      <c r="BO533" s="40"/>
      <c r="BP533" s="40"/>
      <c r="BQ533" s="40"/>
      <c r="BR533" s="40"/>
      <c r="BS533" s="40"/>
      <c r="BT533" s="40"/>
      <c r="BU533" s="40"/>
      <c r="BV533" s="40"/>
      <c r="BW533" s="40"/>
      <c r="BX533" s="40"/>
      <c r="BY533" s="40"/>
      <c r="BZ533" s="40"/>
      <c r="CA533" s="40"/>
      <c r="CB533" s="40"/>
      <c r="CC533" s="40"/>
      <c r="CD533" s="40"/>
      <c r="CE533" s="40"/>
      <c r="CF533" s="40"/>
      <c r="CG533" s="40"/>
      <c r="CH533" s="40"/>
      <c r="CI533" s="40"/>
      <c r="CJ533" s="40"/>
      <c r="CK533" s="40"/>
      <c r="CL533" s="40"/>
      <c r="CM533" s="40"/>
      <c r="CN533" s="40"/>
      <c r="CO533" s="40"/>
      <c r="CP533" s="40"/>
      <c r="CQ533" s="40"/>
      <c r="CR533" s="40"/>
      <c r="CS533" s="40"/>
    </row>
    <row r="534" spans="1:97">
      <c r="A534" s="397"/>
      <c r="B534" s="397"/>
      <c r="C534" s="397"/>
      <c r="D534" s="397"/>
      <c r="E534" s="397"/>
      <c r="F534" s="397"/>
      <c r="G534" s="180"/>
      <c r="H534" s="46"/>
      <c r="I534" s="53"/>
      <c r="J534" s="53"/>
      <c r="K534" s="192"/>
      <c r="L534" s="192"/>
      <c r="M534" s="192"/>
      <c r="N534" s="192"/>
      <c r="O534" s="192"/>
      <c r="P534" s="192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40"/>
      <c r="AP534" s="40"/>
      <c r="AQ534" s="40"/>
      <c r="AR534" s="40"/>
      <c r="AS534" s="40"/>
      <c r="AT534" s="40"/>
      <c r="AU534" s="40"/>
      <c r="AV534" s="40"/>
      <c r="AW534" s="40"/>
      <c r="AX534" s="40"/>
      <c r="AY534" s="40"/>
      <c r="AZ534" s="40"/>
      <c r="BA534" s="40"/>
      <c r="BB534" s="40"/>
      <c r="BC534" s="40"/>
      <c r="BD534" s="40"/>
      <c r="BE534" s="40"/>
      <c r="BF534" s="40"/>
      <c r="BG534" s="40"/>
      <c r="BH534" s="40"/>
      <c r="BI534" s="40"/>
      <c r="BJ534" s="40"/>
      <c r="BK534" s="40"/>
      <c r="BL534" s="40"/>
      <c r="BM534" s="40"/>
      <c r="BN534" s="40"/>
      <c r="BO534" s="40"/>
      <c r="BP534" s="40"/>
      <c r="BQ534" s="40"/>
      <c r="BR534" s="40"/>
      <c r="BS534" s="40"/>
      <c r="BT534" s="40"/>
      <c r="BU534" s="40"/>
      <c r="BV534" s="40"/>
      <c r="BW534" s="40"/>
      <c r="BX534" s="40"/>
      <c r="BY534" s="40"/>
      <c r="BZ534" s="40"/>
      <c r="CA534" s="40"/>
      <c r="CB534" s="40"/>
      <c r="CC534" s="40"/>
      <c r="CD534" s="40"/>
      <c r="CE534" s="40"/>
      <c r="CF534" s="40"/>
      <c r="CG534" s="40"/>
      <c r="CH534" s="40"/>
      <c r="CI534" s="40"/>
      <c r="CJ534" s="40"/>
      <c r="CK534" s="40"/>
      <c r="CL534" s="40"/>
      <c r="CM534" s="40"/>
      <c r="CN534" s="40"/>
      <c r="CO534" s="40"/>
      <c r="CP534" s="40"/>
      <c r="CQ534" s="40"/>
      <c r="CR534" s="40"/>
      <c r="CS534" s="40"/>
    </row>
    <row r="535" spans="1:97">
      <c r="A535" s="397"/>
      <c r="B535" s="397"/>
      <c r="C535" s="397"/>
      <c r="D535" s="397"/>
      <c r="E535" s="397"/>
      <c r="F535" s="397"/>
      <c r="G535" s="180"/>
      <c r="H535" s="46"/>
      <c r="I535" s="53"/>
      <c r="J535" s="53"/>
      <c r="K535" s="192"/>
      <c r="L535" s="192"/>
      <c r="M535" s="192"/>
      <c r="N535" s="192"/>
      <c r="O535" s="192"/>
      <c r="P535" s="192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40"/>
      <c r="AP535" s="40"/>
      <c r="AQ535" s="40"/>
      <c r="AR535" s="40"/>
      <c r="AS535" s="40"/>
      <c r="AT535" s="40"/>
      <c r="AU535" s="40"/>
      <c r="AV535" s="40"/>
      <c r="AW535" s="40"/>
      <c r="AX535" s="40"/>
      <c r="AY535" s="40"/>
      <c r="AZ535" s="40"/>
      <c r="BA535" s="40"/>
      <c r="BB535" s="40"/>
      <c r="BC535" s="40"/>
      <c r="BD535" s="40"/>
      <c r="BE535" s="40"/>
      <c r="BF535" s="40"/>
      <c r="BG535" s="40"/>
      <c r="BH535" s="40"/>
      <c r="BI535" s="40"/>
      <c r="BJ535" s="40"/>
      <c r="BK535" s="40"/>
      <c r="BL535" s="40"/>
      <c r="BM535" s="40"/>
      <c r="BN535" s="40"/>
      <c r="BO535" s="40"/>
      <c r="BP535" s="40"/>
      <c r="BQ535" s="40"/>
      <c r="BR535" s="40"/>
      <c r="BS535" s="40"/>
      <c r="BT535" s="40"/>
      <c r="BU535" s="40"/>
      <c r="BV535" s="40"/>
      <c r="BW535" s="40"/>
      <c r="BX535" s="40"/>
      <c r="BY535" s="40"/>
      <c r="BZ535" s="40"/>
      <c r="CA535" s="40"/>
      <c r="CB535" s="40"/>
      <c r="CC535" s="40"/>
      <c r="CD535" s="40"/>
      <c r="CE535" s="40"/>
      <c r="CF535" s="40"/>
      <c r="CG535" s="40"/>
      <c r="CH535" s="40"/>
      <c r="CI535" s="40"/>
      <c r="CJ535" s="40"/>
      <c r="CK535" s="40"/>
      <c r="CL535" s="40"/>
      <c r="CM535" s="40"/>
      <c r="CN535" s="40"/>
      <c r="CO535" s="40"/>
      <c r="CP535" s="40"/>
      <c r="CQ535" s="40"/>
      <c r="CR535" s="40"/>
      <c r="CS535" s="40"/>
    </row>
    <row r="536" spans="1:97">
      <c r="A536" s="397"/>
      <c r="B536" s="397"/>
      <c r="C536" s="397"/>
      <c r="D536" s="397"/>
      <c r="E536" s="397"/>
      <c r="F536" s="397"/>
      <c r="G536" s="180"/>
      <c r="H536" s="46"/>
      <c r="I536" s="53"/>
      <c r="J536" s="53"/>
      <c r="K536" s="192"/>
      <c r="L536" s="192"/>
      <c r="M536" s="192"/>
      <c r="N536" s="192"/>
      <c r="O536" s="192"/>
      <c r="P536" s="192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0"/>
      <c r="AK536" s="40"/>
      <c r="AL536" s="40"/>
      <c r="AM536" s="40"/>
      <c r="AN536" s="40"/>
      <c r="AO536" s="40"/>
      <c r="AP536" s="40"/>
      <c r="AQ536" s="40"/>
      <c r="AR536" s="40"/>
      <c r="AS536" s="40"/>
      <c r="AT536" s="40"/>
      <c r="AU536" s="40"/>
      <c r="AV536" s="40"/>
      <c r="AW536" s="40"/>
      <c r="AX536" s="40"/>
      <c r="AY536" s="40"/>
      <c r="AZ536" s="40"/>
      <c r="BA536" s="40"/>
      <c r="BB536" s="40"/>
      <c r="BC536" s="40"/>
      <c r="BD536" s="40"/>
      <c r="BE536" s="40"/>
      <c r="BF536" s="40"/>
      <c r="BG536" s="40"/>
      <c r="BH536" s="40"/>
      <c r="BI536" s="40"/>
      <c r="BJ536" s="40"/>
      <c r="BK536" s="40"/>
      <c r="BL536" s="40"/>
      <c r="BM536" s="40"/>
      <c r="BN536" s="40"/>
      <c r="BO536" s="40"/>
      <c r="BP536" s="40"/>
      <c r="BQ536" s="40"/>
      <c r="BR536" s="40"/>
      <c r="BS536" s="40"/>
      <c r="BT536" s="40"/>
      <c r="BU536" s="40"/>
      <c r="BV536" s="40"/>
      <c r="BW536" s="40"/>
      <c r="BX536" s="40"/>
      <c r="BY536" s="40"/>
      <c r="BZ536" s="40"/>
      <c r="CA536" s="40"/>
      <c r="CB536" s="40"/>
      <c r="CC536" s="40"/>
      <c r="CD536" s="40"/>
      <c r="CE536" s="40"/>
      <c r="CF536" s="40"/>
      <c r="CG536" s="40"/>
      <c r="CH536" s="40"/>
      <c r="CI536" s="40"/>
      <c r="CJ536" s="40"/>
      <c r="CK536" s="40"/>
      <c r="CL536" s="40"/>
      <c r="CM536" s="40"/>
      <c r="CN536" s="40"/>
      <c r="CO536" s="40"/>
      <c r="CP536" s="40"/>
      <c r="CQ536" s="40"/>
      <c r="CR536" s="40"/>
      <c r="CS536" s="40"/>
    </row>
    <row r="537" spans="1:97">
      <c r="A537" s="397"/>
      <c r="B537" s="397"/>
      <c r="C537" s="397"/>
      <c r="D537" s="397"/>
      <c r="E537" s="397"/>
      <c r="F537" s="397"/>
      <c r="G537" s="180"/>
      <c r="H537" s="46"/>
      <c r="I537" s="53"/>
      <c r="J537" s="53"/>
      <c r="K537" s="192"/>
      <c r="L537" s="192"/>
      <c r="M537" s="192"/>
      <c r="N537" s="192"/>
      <c r="O537" s="192"/>
      <c r="P537" s="192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  <c r="AM537" s="40"/>
      <c r="AN537" s="40"/>
      <c r="AO537" s="40"/>
      <c r="AP537" s="40"/>
      <c r="AQ537" s="40"/>
      <c r="AR537" s="40"/>
      <c r="AS537" s="40"/>
      <c r="AT537" s="40"/>
      <c r="AU537" s="40"/>
      <c r="AV537" s="40"/>
      <c r="AW537" s="40"/>
      <c r="AX537" s="40"/>
      <c r="AY537" s="40"/>
      <c r="AZ537" s="40"/>
      <c r="BA537" s="40"/>
      <c r="BB537" s="40"/>
      <c r="BC537" s="40"/>
      <c r="BD537" s="40"/>
      <c r="BE537" s="40"/>
      <c r="BF537" s="40"/>
      <c r="BG537" s="40"/>
      <c r="BH537" s="40"/>
      <c r="BI537" s="40"/>
      <c r="BJ537" s="40"/>
      <c r="BK537" s="40"/>
      <c r="BL537" s="40"/>
      <c r="BM537" s="40"/>
      <c r="BN537" s="40"/>
      <c r="BO537" s="40"/>
      <c r="BP537" s="40"/>
      <c r="BQ537" s="40"/>
      <c r="BR537" s="40"/>
      <c r="BS537" s="40"/>
      <c r="BT537" s="40"/>
      <c r="BU537" s="40"/>
      <c r="BV537" s="40"/>
      <c r="BW537" s="40"/>
      <c r="BX537" s="40"/>
      <c r="BY537" s="40"/>
      <c r="BZ537" s="40"/>
      <c r="CA537" s="40"/>
      <c r="CB537" s="40"/>
      <c r="CC537" s="40"/>
      <c r="CD537" s="40"/>
      <c r="CE537" s="40"/>
      <c r="CF537" s="40"/>
      <c r="CG537" s="40"/>
      <c r="CH537" s="40"/>
      <c r="CI537" s="40"/>
      <c r="CJ537" s="40"/>
      <c r="CK537" s="40"/>
      <c r="CL537" s="40"/>
      <c r="CM537" s="40"/>
      <c r="CN537" s="40"/>
      <c r="CO537" s="40"/>
      <c r="CP537" s="40"/>
      <c r="CQ537" s="40"/>
      <c r="CR537" s="40"/>
      <c r="CS537" s="40"/>
    </row>
    <row r="538" spans="1:97">
      <c r="A538" s="397"/>
      <c r="B538" s="397"/>
      <c r="C538" s="397"/>
      <c r="D538" s="397"/>
      <c r="E538" s="397"/>
      <c r="F538" s="397"/>
      <c r="G538" s="180"/>
      <c r="H538" s="46"/>
      <c r="I538" s="53"/>
      <c r="J538" s="53"/>
      <c r="K538" s="192"/>
      <c r="L538" s="192"/>
      <c r="M538" s="192"/>
      <c r="N538" s="192"/>
      <c r="O538" s="192"/>
      <c r="P538" s="192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40"/>
      <c r="AP538" s="40"/>
      <c r="AQ538" s="40"/>
      <c r="AR538" s="40"/>
      <c r="AS538" s="40"/>
      <c r="AT538" s="40"/>
      <c r="AU538" s="40"/>
      <c r="AV538" s="40"/>
      <c r="AW538" s="40"/>
      <c r="AX538" s="40"/>
      <c r="AY538" s="40"/>
      <c r="AZ538" s="40"/>
      <c r="BA538" s="40"/>
      <c r="BB538" s="40"/>
      <c r="BC538" s="40"/>
      <c r="BD538" s="40"/>
      <c r="BE538" s="40"/>
      <c r="BF538" s="40"/>
      <c r="BG538" s="40"/>
      <c r="BH538" s="40"/>
      <c r="BI538" s="40"/>
      <c r="BJ538" s="40"/>
      <c r="BK538" s="40"/>
      <c r="BL538" s="40"/>
      <c r="BM538" s="40"/>
      <c r="BN538" s="40"/>
      <c r="BO538" s="40"/>
      <c r="BP538" s="40"/>
      <c r="BQ538" s="40"/>
      <c r="BR538" s="40"/>
      <c r="BS538" s="40"/>
      <c r="BT538" s="40"/>
      <c r="BU538" s="40"/>
      <c r="BV538" s="40"/>
      <c r="BW538" s="40"/>
      <c r="BX538" s="40"/>
      <c r="BY538" s="40"/>
      <c r="BZ538" s="40"/>
      <c r="CA538" s="40"/>
      <c r="CB538" s="40"/>
      <c r="CC538" s="40"/>
      <c r="CD538" s="40"/>
      <c r="CE538" s="40"/>
      <c r="CF538" s="40"/>
      <c r="CG538" s="40"/>
      <c r="CH538" s="40"/>
      <c r="CI538" s="40"/>
      <c r="CJ538" s="40"/>
      <c r="CK538" s="40"/>
      <c r="CL538" s="40"/>
      <c r="CM538" s="40"/>
      <c r="CN538" s="40"/>
      <c r="CO538" s="40"/>
      <c r="CP538" s="40"/>
      <c r="CQ538" s="40"/>
      <c r="CR538" s="40"/>
      <c r="CS538" s="40"/>
    </row>
    <row r="539" spans="1:97">
      <c r="A539" s="397"/>
      <c r="B539" s="397"/>
      <c r="C539" s="397"/>
      <c r="D539" s="397"/>
      <c r="E539" s="397"/>
      <c r="F539" s="397"/>
      <c r="G539" s="180"/>
      <c r="H539" s="46"/>
      <c r="I539" s="53"/>
      <c r="J539" s="53"/>
      <c r="K539" s="192"/>
      <c r="L539" s="192"/>
      <c r="M539" s="192"/>
      <c r="N539" s="192"/>
      <c r="O539" s="192"/>
      <c r="P539" s="192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40"/>
      <c r="AP539" s="40"/>
      <c r="AQ539" s="40"/>
      <c r="AR539" s="40"/>
      <c r="AS539" s="40"/>
      <c r="AT539" s="40"/>
      <c r="AU539" s="40"/>
      <c r="AV539" s="40"/>
      <c r="AW539" s="40"/>
      <c r="AX539" s="40"/>
      <c r="AY539" s="40"/>
      <c r="AZ539" s="40"/>
      <c r="BA539" s="40"/>
      <c r="BB539" s="40"/>
      <c r="BC539" s="40"/>
      <c r="BD539" s="40"/>
      <c r="BE539" s="40"/>
      <c r="BF539" s="40"/>
      <c r="BG539" s="40"/>
      <c r="BH539" s="40"/>
      <c r="BI539" s="40"/>
      <c r="BJ539" s="40"/>
      <c r="BK539" s="40"/>
      <c r="BL539" s="40"/>
      <c r="BM539" s="40"/>
      <c r="BN539" s="40"/>
      <c r="BO539" s="40"/>
      <c r="BP539" s="40"/>
      <c r="BQ539" s="40"/>
      <c r="BR539" s="40"/>
      <c r="BS539" s="40"/>
      <c r="BT539" s="40"/>
      <c r="BU539" s="40"/>
      <c r="BV539" s="40"/>
      <c r="BW539" s="40"/>
      <c r="BX539" s="40"/>
      <c r="BY539" s="40"/>
      <c r="BZ539" s="40"/>
      <c r="CA539" s="40"/>
      <c r="CB539" s="40"/>
      <c r="CC539" s="40"/>
      <c r="CD539" s="40"/>
      <c r="CE539" s="40"/>
      <c r="CF539" s="40"/>
      <c r="CG539" s="40"/>
      <c r="CH539" s="40"/>
      <c r="CI539" s="40"/>
      <c r="CJ539" s="40"/>
      <c r="CK539" s="40"/>
      <c r="CL539" s="40"/>
      <c r="CM539" s="40"/>
      <c r="CN539" s="40"/>
      <c r="CO539" s="40"/>
      <c r="CP539" s="40"/>
      <c r="CQ539" s="40"/>
      <c r="CR539" s="40"/>
      <c r="CS539" s="40"/>
    </row>
    <row r="540" spans="1:97">
      <c r="A540" s="397"/>
      <c r="B540" s="397"/>
      <c r="C540" s="397"/>
      <c r="D540" s="397"/>
      <c r="E540" s="397"/>
      <c r="F540" s="397"/>
      <c r="G540" s="180"/>
      <c r="H540" s="46"/>
      <c r="I540" s="53"/>
      <c r="J540" s="53"/>
      <c r="K540" s="192"/>
      <c r="L540" s="192"/>
      <c r="M540" s="192"/>
      <c r="N540" s="192"/>
      <c r="O540" s="192"/>
      <c r="P540" s="192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  <c r="AM540" s="40"/>
      <c r="AN540" s="40"/>
      <c r="AO540" s="40"/>
      <c r="AP540" s="40"/>
      <c r="AQ540" s="40"/>
      <c r="AR540" s="40"/>
      <c r="AS540" s="40"/>
      <c r="AT540" s="40"/>
      <c r="AU540" s="40"/>
      <c r="AV540" s="40"/>
      <c r="AW540" s="40"/>
      <c r="AX540" s="40"/>
      <c r="AY540" s="40"/>
      <c r="AZ540" s="40"/>
      <c r="BA540" s="40"/>
      <c r="BB540" s="40"/>
      <c r="BC540" s="40"/>
      <c r="BD540" s="40"/>
      <c r="BE540" s="40"/>
      <c r="BF540" s="40"/>
      <c r="BG540" s="40"/>
      <c r="BH540" s="40"/>
      <c r="BI540" s="40"/>
      <c r="BJ540" s="40"/>
      <c r="BK540" s="40"/>
      <c r="BL540" s="40"/>
      <c r="BM540" s="40"/>
      <c r="BN540" s="40"/>
      <c r="BO540" s="40"/>
      <c r="BP540" s="40"/>
      <c r="BQ540" s="40"/>
      <c r="BR540" s="40"/>
      <c r="BS540" s="40"/>
      <c r="BT540" s="40"/>
      <c r="BU540" s="40"/>
      <c r="BV540" s="40"/>
      <c r="BW540" s="40"/>
      <c r="BX540" s="40"/>
      <c r="BY540" s="40"/>
      <c r="BZ540" s="40"/>
      <c r="CA540" s="40"/>
      <c r="CB540" s="40"/>
      <c r="CC540" s="40"/>
      <c r="CD540" s="40"/>
      <c r="CE540" s="40"/>
      <c r="CF540" s="40"/>
      <c r="CG540" s="40"/>
      <c r="CH540" s="40"/>
      <c r="CI540" s="40"/>
      <c r="CJ540" s="40"/>
      <c r="CK540" s="40"/>
      <c r="CL540" s="40"/>
      <c r="CM540" s="40"/>
      <c r="CN540" s="40"/>
      <c r="CO540" s="40"/>
      <c r="CP540" s="40"/>
      <c r="CQ540" s="40"/>
      <c r="CR540" s="40"/>
      <c r="CS540" s="40"/>
    </row>
    <row r="541" spans="1:97">
      <c r="A541" s="397"/>
      <c r="B541" s="397"/>
      <c r="C541" s="397"/>
      <c r="D541" s="397"/>
      <c r="E541" s="397"/>
      <c r="F541" s="397"/>
      <c r="G541" s="180"/>
      <c r="H541" s="46"/>
      <c r="I541" s="53"/>
      <c r="J541" s="53"/>
      <c r="K541" s="192"/>
      <c r="L541" s="192"/>
      <c r="M541" s="192"/>
      <c r="N541" s="192"/>
      <c r="O541" s="192"/>
      <c r="P541" s="192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40"/>
      <c r="AP541" s="40"/>
      <c r="AQ541" s="40"/>
      <c r="AR541" s="40"/>
      <c r="AS541" s="40"/>
      <c r="AT541" s="40"/>
      <c r="AU541" s="40"/>
      <c r="AV541" s="40"/>
      <c r="AW541" s="40"/>
      <c r="AX541" s="40"/>
      <c r="AY541" s="40"/>
      <c r="AZ541" s="40"/>
      <c r="BA541" s="40"/>
      <c r="BB541" s="40"/>
      <c r="BC541" s="40"/>
      <c r="BD541" s="40"/>
      <c r="BE541" s="40"/>
      <c r="BF541" s="40"/>
      <c r="BG541" s="40"/>
      <c r="BH541" s="40"/>
      <c r="BI541" s="40"/>
      <c r="BJ541" s="40"/>
      <c r="BK541" s="40"/>
      <c r="BL541" s="40"/>
      <c r="BM541" s="40"/>
      <c r="BN541" s="40"/>
      <c r="BO541" s="40"/>
      <c r="BP541" s="40"/>
      <c r="BQ541" s="40"/>
      <c r="BR541" s="40"/>
      <c r="BS541" s="40"/>
      <c r="BT541" s="40"/>
      <c r="BU541" s="40"/>
      <c r="BV541" s="40"/>
      <c r="BW541" s="40"/>
      <c r="BX541" s="40"/>
      <c r="BY541" s="40"/>
      <c r="BZ541" s="40"/>
      <c r="CA541" s="40"/>
      <c r="CB541" s="40"/>
      <c r="CC541" s="40"/>
      <c r="CD541" s="40"/>
      <c r="CE541" s="40"/>
      <c r="CF541" s="40"/>
      <c r="CG541" s="40"/>
      <c r="CH541" s="40"/>
      <c r="CI541" s="40"/>
      <c r="CJ541" s="40"/>
      <c r="CK541" s="40"/>
      <c r="CL541" s="40"/>
      <c r="CM541" s="40"/>
      <c r="CN541" s="40"/>
      <c r="CO541" s="40"/>
      <c r="CP541" s="40"/>
      <c r="CQ541" s="40"/>
      <c r="CR541" s="40"/>
      <c r="CS541" s="40"/>
    </row>
    <row r="542" spans="1:97">
      <c r="A542" s="397"/>
      <c r="B542" s="397"/>
      <c r="C542" s="397"/>
      <c r="D542" s="397"/>
      <c r="E542" s="397"/>
      <c r="F542" s="397"/>
      <c r="G542" s="180"/>
      <c r="H542" s="46"/>
      <c r="I542" s="53"/>
      <c r="J542" s="53"/>
      <c r="K542" s="192"/>
      <c r="L542" s="192"/>
      <c r="M542" s="192"/>
      <c r="N542" s="192"/>
      <c r="O542" s="192"/>
      <c r="P542" s="192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  <c r="AK542" s="40"/>
      <c r="AL542" s="40"/>
      <c r="AM542" s="40"/>
      <c r="AN542" s="40"/>
      <c r="AO542" s="40"/>
      <c r="AP542" s="40"/>
      <c r="AQ542" s="40"/>
      <c r="AR542" s="40"/>
      <c r="AS542" s="40"/>
      <c r="AT542" s="40"/>
      <c r="AU542" s="40"/>
      <c r="AV542" s="40"/>
      <c r="AW542" s="40"/>
      <c r="AX542" s="40"/>
      <c r="AY542" s="40"/>
      <c r="AZ542" s="40"/>
      <c r="BA542" s="40"/>
      <c r="BB542" s="40"/>
      <c r="BC542" s="40"/>
      <c r="BD542" s="40"/>
      <c r="BE542" s="40"/>
      <c r="BF542" s="40"/>
      <c r="BG542" s="40"/>
      <c r="BH542" s="40"/>
      <c r="BI542" s="40"/>
      <c r="BJ542" s="40"/>
      <c r="BK542" s="40"/>
      <c r="BL542" s="40"/>
      <c r="BM542" s="40"/>
      <c r="BN542" s="40"/>
      <c r="BO542" s="40"/>
      <c r="BP542" s="40"/>
      <c r="BQ542" s="40"/>
      <c r="BR542" s="40"/>
      <c r="BS542" s="40"/>
      <c r="BT542" s="40"/>
      <c r="BU542" s="40"/>
      <c r="BV542" s="40"/>
      <c r="BW542" s="40"/>
      <c r="BX542" s="40"/>
      <c r="BY542" s="40"/>
      <c r="BZ542" s="40"/>
      <c r="CA542" s="40"/>
      <c r="CB542" s="40"/>
      <c r="CC542" s="40"/>
      <c r="CD542" s="40"/>
      <c r="CE542" s="40"/>
      <c r="CF542" s="40"/>
      <c r="CG542" s="40"/>
      <c r="CH542" s="40"/>
      <c r="CI542" s="40"/>
      <c r="CJ542" s="40"/>
      <c r="CK542" s="40"/>
      <c r="CL542" s="40"/>
      <c r="CM542" s="40"/>
      <c r="CN542" s="40"/>
      <c r="CO542" s="40"/>
      <c r="CP542" s="40"/>
      <c r="CQ542" s="40"/>
      <c r="CR542" s="40"/>
      <c r="CS542" s="40"/>
    </row>
    <row r="543" spans="1:97">
      <c r="A543" s="397"/>
      <c r="B543" s="397"/>
      <c r="C543" s="397"/>
      <c r="D543" s="397"/>
      <c r="E543" s="397"/>
      <c r="F543" s="397"/>
      <c r="G543" s="180"/>
      <c r="H543" s="46"/>
      <c r="I543" s="53"/>
      <c r="J543" s="53"/>
      <c r="K543" s="192"/>
      <c r="L543" s="192"/>
      <c r="M543" s="192"/>
      <c r="N543" s="192"/>
      <c r="O543" s="192"/>
      <c r="P543" s="192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  <c r="AJ543" s="40"/>
      <c r="AK543" s="40"/>
      <c r="AL543" s="40"/>
      <c r="AM543" s="40"/>
      <c r="AN543" s="40"/>
      <c r="AO543" s="40"/>
      <c r="AP543" s="40"/>
      <c r="AQ543" s="40"/>
      <c r="AR543" s="40"/>
      <c r="AS543" s="40"/>
      <c r="AT543" s="40"/>
      <c r="AU543" s="40"/>
      <c r="AV543" s="40"/>
      <c r="AW543" s="40"/>
      <c r="AX543" s="40"/>
      <c r="AY543" s="40"/>
      <c r="AZ543" s="40"/>
      <c r="BA543" s="40"/>
      <c r="BB543" s="40"/>
      <c r="BC543" s="40"/>
      <c r="BD543" s="40"/>
      <c r="BE543" s="40"/>
      <c r="BF543" s="40"/>
      <c r="BG543" s="40"/>
      <c r="BH543" s="40"/>
      <c r="BI543" s="40"/>
      <c r="BJ543" s="40"/>
      <c r="BK543" s="40"/>
      <c r="BL543" s="40"/>
      <c r="BM543" s="40"/>
      <c r="BN543" s="40"/>
      <c r="BO543" s="40"/>
      <c r="BP543" s="40"/>
      <c r="BQ543" s="40"/>
      <c r="BR543" s="40"/>
      <c r="BS543" s="40"/>
      <c r="BT543" s="40"/>
      <c r="BU543" s="40"/>
      <c r="BV543" s="40"/>
      <c r="BW543" s="40"/>
      <c r="BX543" s="40"/>
      <c r="BY543" s="40"/>
      <c r="BZ543" s="40"/>
      <c r="CA543" s="40"/>
      <c r="CB543" s="40"/>
      <c r="CC543" s="40"/>
      <c r="CD543" s="40"/>
      <c r="CE543" s="40"/>
      <c r="CF543" s="40"/>
      <c r="CG543" s="40"/>
      <c r="CH543" s="40"/>
      <c r="CI543" s="40"/>
      <c r="CJ543" s="40"/>
      <c r="CK543" s="40"/>
      <c r="CL543" s="40"/>
      <c r="CM543" s="40"/>
      <c r="CN543" s="40"/>
      <c r="CO543" s="40"/>
      <c r="CP543" s="40"/>
      <c r="CQ543" s="40"/>
      <c r="CR543" s="40"/>
      <c r="CS543" s="40"/>
    </row>
    <row r="544" spans="1:97">
      <c r="A544" s="397"/>
      <c r="B544" s="397"/>
      <c r="C544" s="397"/>
      <c r="D544" s="397"/>
      <c r="E544" s="397"/>
      <c r="F544" s="397"/>
      <c r="G544" s="180"/>
      <c r="H544" s="46"/>
      <c r="I544" s="53"/>
      <c r="J544" s="53"/>
      <c r="K544" s="192"/>
      <c r="L544" s="192"/>
      <c r="M544" s="192"/>
      <c r="N544" s="192"/>
      <c r="O544" s="192"/>
      <c r="P544" s="192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0"/>
      <c r="AK544" s="40"/>
      <c r="AL544" s="40"/>
      <c r="AM544" s="40"/>
      <c r="AN544" s="40"/>
      <c r="AO544" s="40"/>
      <c r="AP544" s="40"/>
      <c r="AQ544" s="40"/>
      <c r="AR544" s="40"/>
      <c r="AS544" s="40"/>
      <c r="AT544" s="40"/>
      <c r="AU544" s="40"/>
      <c r="AV544" s="40"/>
      <c r="AW544" s="40"/>
      <c r="AX544" s="40"/>
      <c r="AY544" s="40"/>
      <c r="AZ544" s="40"/>
      <c r="BA544" s="40"/>
      <c r="BB544" s="40"/>
      <c r="BC544" s="40"/>
      <c r="BD544" s="40"/>
      <c r="BE544" s="40"/>
      <c r="BF544" s="40"/>
      <c r="BG544" s="40"/>
      <c r="BH544" s="40"/>
      <c r="BI544" s="40"/>
      <c r="BJ544" s="40"/>
      <c r="BK544" s="40"/>
      <c r="BL544" s="40"/>
      <c r="BM544" s="40"/>
      <c r="BN544" s="40"/>
      <c r="BO544" s="40"/>
      <c r="BP544" s="40"/>
      <c r="BQ544" s="40"/>
      <c r="BR544" s="40"/>
      <c r="BS544" s="40"/>
      <c r="BT544" s="40"/>
      <c r="BU544" s="40"/>
      <c r="BV544" s="40"/>
      <c r="BW544" s="40"/>
      <c r="BX544" s="40"/>
      <c r="BY544" s="40"/>
      <c r="BZ544" s="40"/>
      <c r="CA544" s="40"/>
      <c r="CB544" s="40"/>
      <c r="CC544" s="40"/>
      <c r="CD544" s="40"/>
      <c r="CE544" s="40"/>
      <c r="CF544" s="40"/>
      <c r="CG544" s="40"/>
      <c r="CH544" s="40"/>
      <c r="CI544" s="40"/>
      <c r="CJ544" s="40"/>
      <c r="CK544" s="40"/>
      <c r="CL544" s="40"/>
      <c r="CM544" s="40"/>
      <c r="CN544" s="40"/>
      <c r="CO544" s="40"/>
      <c r="CP544" s="40"/>
      <c r="CQ544" s="40"/>
      <c r="CR544" s="40"/>
      <c r="CS544" s="40"/>
    </row>
    <row r="545" spans="1:97">
      <c r="A545" s="397"/>
      <c r="B545" s="397"/>
      <c r="C545" s="397"/>
      <c r="D545" s="397"/>
      <c r="E545" s="397"/>
      <c r="F545" s="397"/>
      <c r="G545" s="180"/>
      <c r="H545" s="46"/>
      <c r="I545" s="53"/>
      <c r="J545" s="53"/>
      <c r="K545" s="192"/>
      <c r="L545" s="192"/>
      <c r="M545" s="192"/>
      <c r="N545" s="192"/>
      <c r="O545" s="192"/>
      <c r="P545" s="192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  <c r="AJ545" s="40"/>
      <c r="AK545" s="40"/>
      <c r="AL545" s="40"/>
      <c r="AM545" s="40"/>
      <c r="AN545" s="40"/>
      <c r="AO545" s="40"/>
      <c r="AP545" s="40"/>
      <c r="AQ545" s="40"/>
      <c r="AR545" s="40"/>
      <c r="AS545" s="40"/>
      <c r="AT545" s="40"/>
      <c r="AU545" s="40"/>
      <c r="AV545" s="40"/>
      <c r="AW545" s="40"/>
      <c r="AX545" s="40"/>
      <c r="AY545" s="40"/>
      <c r="AZ545" s="40"/>
      <c r="BA545" s="40"/>
      <c r="BB545" s="40"/>
      <c r="BC545" s="40"/>
      <c r="BD545" s="40"/>
      <c r="BE545" s="40"/>
      <c r="BF545" s="40"/>
      <c r="BG545" s="40"/>
      <c r="BH545" s="40"/>
      <c r="BI545" s="40"/>
      <c r="BJ545" s="40"/>
      <c r="BK545" s="40"/>
      <c r="BL545" s="40"/>
      <c r="BM545" s="40"/>
      <c r="BN545" s="40"/>
      <c r="BO545" s="40"/>
      <c r="BP545" s="40"/>
      <c r="BQ545" s="40"/>
      <c r="BR545" s="40"/>
      <c r="BS545" s="40"/>
      <c r="BT545" s="40"/>
      <c r="BU545" s="40"/>
      <c r="BV545" s="40"/>
      <c r="BW545" s="40"/>
      <c r="BX545" s="40"/>
      <c r="BY545" s="40"/>
      <c r="BZ545" s="40"/>
      <c r="CA545" s="40"/>
      <c r="CB545" s="40"/>
      <c r="CC545" s="40"/>
      <c r="CD545" s="40"/>
      <c r="CE545" s="40"/>
      <c r="CF545" s="40"/>
      <c r="CG545" s="40"/>
      <c r="CH545" s="40"/>
      <c r="CI545" s="40"/>
      <c r="CJ545" s="40"/>
      <c r="CK545" s="40"/>
      <c r="CL545" s="40"/>
      <c r="CM545" s="40"/>
      <c r="CN545" s="40"/>
      <c r="CO545" s="40"/>
      <c r="CP545" s="40"/>
      <c r="CQ545" s="40"/>
      <c r="CR545" s="40"/>
      <c r="CS545" s="40"/>
    </row>
    <row r="546" spans="1:97">
      <c r="A546" s="397"/>
      <c r="B546" s="397"/>
      <c r="C546" s="397"/>
      <c r="D546" s="397"/>
      <c r="E546" s="397"/>
      <c r="F546" s="397"/>
      <c r="G546" s="180"/>
      <c r="H546" s="46"/>
      <c r="I546" s="53"/>
      <c r="J546" s="53"/>
      <c r="K546" s="192"/>
      <c r="L546" s="192"/>
      <c r="M546" s="192"/>
      <c r="N546" s="192"/>
      <c r="O546" s="192"/>
      <c r="P546" s="192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0"/>
      <c r="AK546" s="40"/>
      <c r="AL546" s="40"/>
      <c r="AM546" s="40"/>
      <c r="AN546" s="40"/>
      <c r="AO546" s="40"/>
      <c r="AP546" s="40"/>
      <c r="AQ546" s="40"/>
      <c r="AR546" s="40"/>
      <c r="AS546" s="40"/>
      <c r="AT546" s="40"/>
      <c r="AU546" s="40"/>
      <c r="AV546" s="40"/>
      <c r="AW546" s="40"/>
      <c r="AX546" s="40"/>
      <c r="AY546" s="40"/>
      <c r="AZ546" s="40"/>
      <c r="BA546" s="40"/>
      <c r="BB546" s="40"/>
      <c r="BC546" s="40"/>
      <c r="BD546" s="40"/>
      <c r="BE546" s="40"/>
      <c r="BF546" s="40"/>
      <c r="BG546" s="40"/>
      <c r="BH546" s="40"/>
      <c r="BI546" s="40"/>
      <c r="BJ546" s="40"/>
      <c r="BK546" s="40"/>
      <c r="BL546" s="40"/>
      <c r="BM546" s="40"/>
      <c r="BN546" s="40"/>
      <c r="BO546" s="40"/>
      <c r="BP546" s="40"/>
      <c r="BQ546" s="40"/>
      <c r="BR546" s="40"/>
      <c r="BS546" s="40"/>
      <c r="BT546" s="40"/>
      <c r="BU546" s="40"/>
      <c r="BV546" s="40"/>
      <c r="BW546" s="40"/>
      <c r="BX546" s="40"/>
      <c r="BY546" s="40"/>
      <c r="BZ546" s="40"/>
      <c r="CA546" s="40"/>
      <c r="CB546" s="40"/>
      <c r="CC546" s="40"/>
      <c r="CD546" s="40"/>
      <c r="CE546" s="40"/>
      <c r="CF546" s="40"/>
      <c r="CG546" s="40"/>
      <c r="CH546" s="40"/>
      <c r="CI546" s="40"/>
      <c r="CJ546" s="40"/>
      <c r="CK546" s="40"/>
      <c r="CL546" s="40"/>
      <c r="CM546" s="40"/>
      <c r="CN546" s="40"/>
      <c r="CO546" s="40"/>
      <c r="CP546" s="40"/>
      <c r="CQ546" s="40"/>
      <c r="CR546" s="40"/>
      <c r="CS546" s="40"/>
    </row>
    <row r="547" spans="1:97">
      <c r="A547" s="397"/>
      <c r="B547" s="397"/>
      <c r="C547" s="397"/>
      <c r="D547" s="397"/>
      <c r="E547" s="397"/>
      <c r="F547" s="397"/>
      <c r="G547" s="180"/>
      <c r="H547" s="46"/>
      <c r="I547" s="53"/>
      <c r="J547" s="53"/>
      <c r="K547" s="192"/>
      <c r="L547" s="192"/>
      <c r="M547" s="192"/>
      <c r="N547" s="192"/>
      <c r="O547" s="192"/>
      <c r="P547" s="192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  <c r="AK547" s="40"/>
      <c r="AL547" s="40"/>
      <c r="AM547" s="40"/>
      <c r="AN547" s="40"/>
      <c r="AO547" s="40"/>
      <c r="AP547" s="40"/>
      <c r="AQ547" s="40"/>
      <c r="AR547" s="40"/>
      <c r="AS547" s="40"/>
      <c r="AT547" s="40"/>
      <c r="AU547" s="40"/>
      <c r="AV547" s="40"/>
      <c r="AW547" s="40"/>
      <c r="AX547" s="40"/>
      <c r="AY547" s="40"/>
      <c r="AZ547" s="40"/>
      <c r="BA547" s="40"/>
      <c r="BB547" s="40"/>
      <c r="BC547" s="40"/>
      <c r="BD547" s="40"/>
      <c r="BE547" s="40"/>
      <c r="BF547" s="40"/>
      <c r="BG547" s="40"/>
      <c r="BH547" s="40"/>
      <c r="BI547" s="40"/>
      <c r="BJ547" s="40"/>
      <c r="BK547" s="40"/>
      <c r="BL547" s="40"/>
      <c r="BM547" s="40"/>
      <c r="BN547" s="40"/>
      <c r="BO547" s="40"/>
      <c r="BP547" s="40"/>
      <c r="BQ547" s="40"/>
      <c r="BR547" s="40"/>
      <c r="BS547" s="40"/>
      <c r="BT547" s="40"/>
      <c r="BU547" s="40"/>
      <c r="BV547" s="40"/>
      <c r="BW547" s="40"/>
      <c r="BX547" s="40"/>
      <c r="BY547" s="40"/>
      <c r="BZ547" s="40"/>
      <c r="CA547" s="40"/>
      <c r="CB547" s="40"/>
      <c r="CC547" s="40"/>
      <c r="CD547" s="40"/>
      <c r="CE547" s="40"/>
      <c r="CF547" s="40"/>
      <c r="CG547" s="40"/>
      <c r="CH547" s="40"/>
      <c r="CI547" s="40"/>
      <c r="CJ547" s="40"/>
      <c r="CK547" s="40"/>
      <c r="CL547" s="40"/>
      <c r="CM547" s="40"/>
      <c r="CN547" s="40"/>
      <c r="CO547" s="40"/>
      <c r="CP547" s="40"/>
      <c r="CQ547" s="40"/>
      <c r="CR547" s="40"/>
      <c r="CS547" s="40"/>
    </row>
    <row r="548" spans="1:97">
      <c r="A548" s="397"/>
      <c r="B548" s="397"/>
      <c r="C548" s="397"/>
      <c r="D548" s="397"/>
      <c r="E548" s="397"/>
      <c r="F548" s="397"/>
      <c r="G548" s="180"/>
      <c r="H548" s="46"/>
      <c r="I548" s="53"/>
      <c r="J548" s="53"/>
      <c r="K548" s="192"/>
      <c r="L548" s="192"/>
      <c r="M548" s="192"/>
      <c r="N548" s="192"/>
      <c r="O548" s="192"/>
      <c r="P548" s="192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40"/>
      <c r="AL548" s="40"/>
      <c r="AM548" s="40"/>
      <c r="AN548" s="40"/>
      <c r="AO548" s="40"/>
      <c r="AP548" s="40"/>
      <c r="AQ548" s="40"/>
      <c r="AR548" s="40"/>
      <c r="AS548" s="40"/>
      <c r="AT548" s="40"/>
      <c r="AU548" s="40"/>
      <c r="AV548" s="40"/>
      <c r="AW548" s="40"/>
      <c r="AX548" s="40"/>
      <c r="AY548" s="40"/>
      <c r="AZ548" s="40"/>
      <c r="BA548" s="40"/>
      <c r="BB548" s="40"/>
      <c r="BC548" s="40"/>
      <c r="BD548" s="40"/>
      <c r="BE548" s="40"/>
      <c r="BF548" s="40"/>
      <c r="BG548" s="40"/>
      <c r="BH548" s="40"/>
      <c r="BI548" s="40"/>
      <c r="BJ548" s="40"/>
      <c r="BK548" s="40"/>
      <c r="BL548" s="40"/>
      <c r="BM548" s="40"/>
      <c r="BN548" s="40"/>
      <c r="BO548" s="40"/>
      <c r="BP548" s="40"/>
      <c r="BQ548" s="40"/>
      <c r="BR548" s="40"/>
      <c r="BS548" s="40"/>
      <c r="BT548" s="40"/>
      <c r="BU548" s="40"/>
      <c r="BV548" s="40"/>
      <c r="BW548" s="40"/>
      <c r="BX548" s="40"/>
      <c r="BY548" s="40"/>
      <c r="BZ548" s="40"/>
      <c r="CA548" s="40"/>
      <c r="CB548" s="40"/>
      <c r="CC548" s="40"/>
      <c r="CD548" s="40"/>
      <c r="CE548" s="40"/>
      <c r="CF548" s="40"/>
      <c r="CG548" s="40"/>
      <c r="CH548" s="40"/>
      <c r="CI548" s="40"/>
      <c r="CJ548" s="40"/>
      <c r="CK548" s="40"/>
      <c r="CL548" s="40"/>
      <c r="CM548" s="40"/>
      <c r="CN548" s="40"/>
      <c r="CO548" s="40"/>
      <c r="CP548" s="40"/>
      <c r="CQ548" s="40"/>
      <c r="CR548" s="40"/>
      <c r="CS548" s="40"/>
    </row>
    <row r="549" spans="1:97">
      <c r="A549" s="397"/>
      <c r="B549" s="397"/>
      <c r="C549" s="397"/>
      <c r="D549" s="397"/>
      <c r="E549" s="397"/>
      <c r="F549" s="397"/>
      <c r="G549" s="180"/>
      <c r="H549" s="46"/>
      <c r="I549" s="53"/>
      <c r="J549" s="53"/>
      <c r="K549" s="192"/>
      <c r="L549" s="192"/>
      <c r="M549" s="192"/>
      <c r="N549" s="192"/>
      <c r="O549" s="192"/>
      <c r="P549" s="192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0"/>
      <c r="AK549" s="40"/>
      <c r="AL549" s="40"/>
      <c r="AM549" s="40"/>
      <c r="AN549" s="40"/>
      <c r="AO549" s="40"/>
      <c r="AP549" s="40"/>
      <c r="AQ549" s="40"/>
      <c r="AR549" s="40"/>
      <c r="AS549" s="40"/>
      <c r="AT549" s="40"/>
      <c r="AU549" s="40"/>
      <c r="AV549" s="40"/>
      <c r="AW549" s="40"/>
      <c r="AX549" s="40"/>
      <c r="AY549" s="40"/>
      <c r="AZ549" s="40"/>
      <c r="BA549" s="40"/>
      <c r="BB549" s="40"/>
      <c r="BC549" s="40"/>
      <c r="BD549" s="40"/>
      <c r="BE549" s="40"/>
      <c r="BF549" s="40"/>
      <c r="BG549" s="40"/>
      <c r="BH549" s="40"/>
      <c r="BI549" s="40"/>
      <c r="BJ549" s="40"/>
      <c r="BK549" s="40"/>
      <c r="BL549" s="40"/>
      <c r="BM549" s="40"/>
      <c r="BN549" s="40"/>
      <c r="BO549" s="40"/>
      <c r="BP549" s="40"/>
      <c r="BQ549" s="40"/>
      <c r="BR549" s="40"/>
      <c r="BS549" s="40"/>
      <c r="BT549" s="40"/>
      <c r="BU549" s="40"/>
      <c r="BV549" s="40"/>
      <c r="BW549" s="40"/>
      <c r="BX549" s="40"/>
      <c r="BY549" s="40"/>
      <c r="BZ549" s="40"/>
      <c r="CA549" s="40"/>
      <c r="CB549" s="40"/>
      <c r="CC549" s="40"/>
      <c r="CD549" s="40"/>
      <c r="CE549" s="40"/>
      <c r="CF549" s="40"/>
      <c r="CG549" s="40"/>
      <c r="CH549" s="40"/>
      <c r="CI549" s="40"/>
      <c r="CJ549" s="40"/>
      <c r="CK549" s="40"/>
      <c r="CL549" s="40"/>
      <c r="CM549" s="40"/>
      <c r="CN549" s="40"/>
      <c r="CO549" s="40"/>
      <c r="CP549" s="40"/>
      <c r="CQ549" s="40"/>
      <c r="CR549" s="40"/>
      <c r="CS549" s="40"/>
    </row>
    <row r="550" spans="1:97">
      <c r="A550" s="397"/>
      <c r="B550" s="397"/>
      <c r="C550" s="397"/>
      <c r="D550" s="397"/>
      <c r="E550" s="397"/>
      <c r="F550" s="397"/>
      <c r="G550" s="180"/>
      <c r="H550" s="46"/>
      <c r="I550" s="53"/>
      <c r="J550" s="53"/>
      <c r="K550" s="192"/>
      <c r="L550" s="192"/>
      <c r="M550" s="192"/>
      <c r="N550" s="192"/>
      <c r="O550" s="192"/>
      <c r="P550" s="192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/>
      <c r="AO550" s="40"/>
      <c r="AP550" s="40"/>
      <c r="AQ550" s="40"/>
      <c r="AR550" s="40"/>
      <c r="AS550" s="40"/>
      <c r="AT550" s="40"/>
      <c r="AU550" s="40"/>
      <c r="AV550" s="40"/>
      <c r="AW550" s="40"/>
      <c r="AX550" s="40"/>
      <c r="AY550" s="40"/>
      <c r="AZ550" s="40"/>
      <c r="BA550" s="40"/>
      <c r="BB550" s="40"/>
      <c r="BC550" s="40"/>
      <c r="BD550" s="40"/>
      <c r="BE550" s="40"/>
      <c r="BF550" s="40"/>
      <c r="BG550" s="40"/>
      <c r="BH550" s="40"/>
      <c r="BI550" s="40"/>
      <c r="BJ550" s="40"/>
      <c r="BK550" s="40"/>
      <c r="BL550" s="40"/>
      <c r="BM550" s="40"/>
      <c r="BN550" s="40"/>
      <c r="BO550" s="40"/>
      <c r="BP550" s="40"/>
      <c r="BQ550" s="40"/>
      <c r="BR550" s="40"/>
      <c r="BS550" s="40"/>
      <c r="BT550" s="40"/>
      <c r="BU550" s="40"/>
      <c r="BV550" s="40"/>
      <c r="BW550" s="40"/>
      <c r="BX550" s="40"/>
      <c r="BY550" s="40"/>
      <c r="BZ550" s="40"/>
      <c r="CA550" s="40"/>
      <c r="CB550" s="40"/>
      <c r="CC550" s="40"/>
      <c r="CD550" s="40"/>
      <c r="CE550" s="40"/>
      <c r="CF550" s="40"/>
      <c r="CG550" s="40"/>
      <c r="CH550" s="40"/>
      <c r="CI550" s="40"/>
      <c r="CJ550" s="40"/>
      <c r="CK550" s="40"/>
      <c r="CL550" s="40"/>
      <c r="CM550" s="40"/>
      <c r="CN550" s="40"/>
      <c r="CO550" s="40"/>
      <c r="CP550" s="40"/>
      <c r="CQ550" s="40"/>
      <c r="CR550" s="40"/>
      <c r="CS550" s="40"/>
    </row>
    <row r="551" spans="1:97">
      <c r="A551" s="397"/>
      <c r="B551" s="397"/>
      <c r="C551" s="397"/>
      <c r="D551" s="397"/>
      <c r="E551" s="397"/>
      <c r="F551" s="397"/>
      <c r="G551" s="180"/>
      <c r="H551" s="46"/>
      <c r="I551" s="53"/>
      <c r="J551" s="53"/>
      <c r="K551" s="192"/>
      <c r="L551" s="192"/>
      <c r="M551" s="192"/>
      <c r="N551" s="192"/>
      <c r="O551" s="192"/>
      <c r="P551" s="192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  <c r="AK551" s="40"/>
      <c r="AL551" s="40"/>
      <c r="AM551" s="40"/>
      <c r="AN551" s="40"/>
      <c r="AO551" s="40"/>
      <c r="AP551" s="40"/>
      <c r="AQ551" s="40"/>
      <c r="AR551" s="40"/>
      <c r="AS551" s="40"/>
      <c r="AT551" s="40"/>
      <c r="AU551" s="40"/>
      <c r="AV551" s="40"/>
      <c r="AW551" s="40"/>
      <c r="AX551" s="40"/>
      <c r="AY551" s="40"/>
      <c r="AZ551" s="40"/>
      <c r="BA551" s="40"/>
      <c r="BB551" s="40"/>
      <c r="BC551" s="40"/>
      <c r="BD551" s="40"/>
      <c r="BE551" s="40"/>
      <c r="BF551" s="40"/>
      <c r="BG551" s="40"/>
      <c r="BH551" s="40"/>
      <c r="BI551" s="40"/>
      <c r="BJ551" s="40"/>
      <c r="BK551" s="40"/>
      <c r="BL551" s="40"/>
      <c r="BM551" s="40"/>
      <c r="BN551" s="40"/>
      <c r="BO551" s="40"/>
      <c r="BP551" s="40"/>
      <c r="BQ551" s="40"/>
      <c r="BR551" s="40"/>
      <c r="BS551" s="40"/>
      <c r="BT551" s="40"/>
      <c r="BU551" s="40"/>
      <c r="BV551" s="40"/>
      <c r="BW551" s="40"/>
      <c r="BX551" s="40"/>
      <c r="BY551" s="40"/>
      <c r="BZ551" s="40"/>
      <c r="CA551" s="40"/>
      <c r="CB551" s="40"/>
      <c r="CC551" s="40"/>
      <c r="CD551" s="40"/>
      <c r="CE551" s="40"/>
      <c r="CF551" s="40"/>
      <c r="CG551" s="40"/>
      <c r="CH551" s="40"/>
      <c r="CI551" s="40"/>
      <c r="CJ551" s="40"/>
      <c r="CK551" s="40"/>
      <c r="CL551" s="40"/>
      <c r="CM551" s="40"/>
      <c r="CN551" s="40"/>
      <c r="CO551" s="40"/>
      <c r="CP551" s="40"/>
      <c r="CQ551" s="40"/>
      <c r="CR551" s="40"/>
      <c r="CS551" s="40"/>
    </row>
    <row r="552" spans="1:97">
      <c r="A552" s="397"/>
      <c r="B552" s="397"/>
      <c r="C552" s="397"/>
      <c r="D552" s="397"/>
      <c r="E552" s="397"/>
      <c r="F552" s="397"/>
      <c r="G552" s="180"/>
      <c r="H552" s="46"/>
      <c r="I552" s="53"/>
      <c r="J552" s="53"/>
      <c r="K552" s="192"/>
      <c r="L552" s="192"/>
      <c r="M552" s="192"/>
      <c r="N552" s="192"/>
      <c r="O552" s="192"/>
      <c r="P552" s="192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  <c r="AK552" s="40"/>
      <c r="AL552" s="40"/>
      <c r="AM552" s="40"/>
      <c r="AN552" s="40"/>
      <c r="AO552" s="40"/>
      <c r="AP552" s="40"/>
      <c r="AQ552" s="40"/>
      <c r="AR552" s="40"/>
      <c r="AS552" s="40"/>
      <c r="AT552" s="40"/>
      <c r="AU552" s="40"/>
      <c r="AV552" s="40"/>
      <c r="AW552" s="40"/>
      <c r="AX552" s="40"/>
      <c r="AY552" s="40"/>
      <c r="AZ552" s="40"/>
      <c r="BA552" s="40"/>
      <c r="BB552" s="40"/>
      <c r="BC552" s="40"/>
      <c r="BD552" s="40"/>
      <c r="BE552" s="40"/>
      <c r="BF552" s="40"/>
      <c r="BG552" s="40"/>
      <c r="BH552" s="40"/>
      <c r="BI552" s="40"/>
      <c r="BJ552" s="40"/>
      <c r="BK552" s="40"/>
      <c r="BL552" s="40"/>
      <c r="BM552" s="40"/>
      <c r="BN552" s="40"/>
      <c r="BO552" s="40"/>
      <c r="BP552" s="40"/>
      <c r="BQ552" s="40"/>
      <c r="BR552" s="40"/>
      <c r="BS552" s="40"/>
      <c r="BT552" s="40"/>
      <c r="BU552" s="40"/>
      <c r="BV552" s="40"/>
      <c r="BW552" s="40"/>
      <c r="BX552" s="40"/>
      <c r="BY552" s="40"/>
      <c r="BZ552" s="40"/>
      <c r="CA552" s="40"/>
      <c r="CB552" s="40"/>
      <c r="CC552" s="40"/>
      <c r="CD552" s="40"/>
      <c r="CE552" s="40"/>
      <c r="CF552" s="40"/>
      <c r="CG552" s="40"/>
      <c r="CH552" s="40"/>
      <c r="CI552" s="40"/>
      <c r="CJ552" s="40"/>
      <c r="CK552" s="40"/>
      <c r="CL552" s="40"/>
      <c r="CM552" s="40"/>
      <c r="CN552" s="40"/>
      <c r="CO552" s="40"/>
      <c r="CP552" s="40"/>
      <c r="CQ552" s="40"/>
      <c r="CR552" s="40"/>
      <c r="CS552" s="40"/>
    </row>
    <row r="553" spans="1:97">
      <c r="A553" s="397"/>
      <c r="B553" s="397"/>
      <c r="C553" s="397"/>
      <c r="D553" s="397"/>
      <c r="E553" s="397"/>
      <c r="F553" s="397"/>
      <c r="G553" s="180"/>
      <c r="H553" s="46"/>
      <c r="I553" s="53"/>
      <c r="J553" s="53"/>
      <c r="K553" s="192"/>
      <c r="L553" s="192"/>
      <c r="M553" s="192"/>
      <c r="N553" s="192"/>
      <c r="O553" s="192"/>
      <c r="P553" s="192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0"/>
      <c r="AK553" s="40"/>
      <c r="AL553" s="40"/>
      <c r="AM553" s="40"/>
      <c r="AN553" s="40"/>
      <c r="AO553" s="40"/>
      <c r="AP553" s="40"/>
      <c r="AQ553" s="40"/>
      <c r="AR553" s="40"/>
      <c r="AS553" s="40"/>
      <c r="AT553" s="40"/>
      <c r="AU553" s="40"/>
      <c r="AV553" s="40"/>
      <c r="AW553" s="40"/>
      <c r="AX553" s="40"/>
      <c r="AY553" s="40"/>
      <c r="AZ553" s="40"/>
      <c r="BA553" s="40"/>
      <c r="BB553" s="40"/>
      <c r="BC553" s="40"/>
      <c r="BD553" s="40"/>
      <c r="BE553" s="40"/>
      <c r="BF553" s="40"/>
      <c r="BG553" s="40"/>
      <c r="BH553" s="40"/>
      <c r="BI553" s="40"/>
      <c r="BJ553" s="40"/>
      <c r="BK553" s="40"/>
      <c r="BL553" s="40"/>
      <c r="BM553" s="40"/>
      <c r="BN553" s="40"/>
      <c r="BO553" s="40"/>
      <c r="BP553" s="40"/>
      <c r="BQ553" s="40"/>
      <c r="BR553" s="40"/>
      <c r="BS553" s="40"/>
      <c r="BT553" s="40"/>
      <c r="BU553" s="40"/>
      <c r="BV553" s="40"/>
      <c r="BW553" s="40"/>
      <c r="BX553" s="40"/>
      <c r="BY553" s="40"/>
      <c r="BZ553" s="40"/>
      <c r="CA553" s="40"/>
      <c r="CB553" s="40"/>
      <c r="CC553" s="40"/>
      <c r="CD553" s="40"/>
      <c r="CE553" s="40"/>
      <c r="CF553" s="40"/>
      <c r="CG553" s="40"/>
      <c r="CH553" s="40"/>
      <c r="CI553" s="40"/>
      <c r="CJ553" s="40"/>
      <c r="CK553" s="40"/>
      <c r="CL553" s="40"/>
      <c r="CM553" s="40"/>
      <c r="CN553" s="40"/>
      <c r="CO553" s="40"/>
      <c r="CP553" s="40"/>
      <c r="CQ553" s="40"/>
      <c r="CR553" s="40"/>
      <c r="CS553" s="40"/>
    </row>
    <row r="554" spans="1:97">
      <c r="A554" s="397"/>
      <c r="B554" s="397"/>
      <c r="C554" s="397"/>
      <c r="D554" s="397"/>
      <c r="E554" s="397"/>
      <c r="F554" s="397"/>
      <c r="G554" s="180"/>
      <c r="H554" s="46"/>
      <c r="I554" s="53"/>
      <c r="J554" s="53"/>
      <c r="K554" s="192"/>
      <c r="L554" s="192"/>
      <c r="M554" s="192"/>
      <c r="N554" s="192"/>
      <c r="O554" s="192"/>
      <c r="P554" s="192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  <c r="AJ554" s="40"/>
      <c r="AK554" s="40"/>
      <c r="AL554" s="40"/>
      <c r="AM554" s="40"/>
      <c r="AN554" s="40"/>
      <c r="AO554" s="40"/>
      <c r="AP554" s="40"/>
      <c r="AQ554" s="40"/>
      <c r="AR554" s="40"/>
      <c r="AS554" s="40"/>
      <c r="AT554" s="40"/>
      <c r="AU554" s="40"/>
      <c r="AV554" s="40"/>
      <c r="AW554" s="40"/>
      <c r="AX554" s="40"/>
      <c r="AY554" s="40"/>
      <c r="AZ554" s="40"/>
      <c r="BA554" s="40"/>
      <c r="BB554" s="40"/>
      <c r="BC554" s="40"/>
      <c r="BD554" s="40"/>
      <c r="BE554" s="40"/>
      <c r="BF554" s="40"/>
      <c r="BG554" s="40"/>
      <c r="BH554" s="40"/>
      <c r="BI554" s="40"/>
      <c r="BJ554" s="40"/>
      <c r="BK554" s="40"/>
      <c r="BL554" s="40"/>
      <c r="BM554" s="40"/>
      <c r="BN554" s="40"/>
      <c r="BO554" s="40"/>
      <c r="BP554" s="40"/>
      <c r="BQ554" s="40"/>
      <c r="BR554" s="40"/>
      <c r="BS554" s="40"/>
      <c r="BT554" s="40"/>
      <c r="BU554" s="40"/>
      <c r="BV554" s="40"/>
      <c r="BW554" s="40"/>
      <c r="BX554" s="40"/>
      <c r="BY554" s="40"/>
      <c r="BZ554" s="40"/>
      <c r="CA554" s="40"/>
      <c r="CB554" s="40"/>
      <c r="CC554" s="40"/>
      <c r="CD554" s="40"/>
      <c r="CE554" s="40"/>
      <c r="CF554" s="40"/>
      <c r="CG554" s="40"/>
      <c r="CH554" s="40"/>
      <c r="CI554" s="40"/>
      <c r="CJ554" s="40"/>
      <c r="CK554" s="40"/>
      <c r="CL554" s="40"/>
      <c r="CM554" s="40"/>
      <c r="CN554" s="40"/>
      <c r="CO554" s="40"/>
      <c r="CP554" s="40"/>
      <c r="CQ554" s="40"/>
      <c r="CR554" s="40"/>
      <c r="CS554" s="40"/>
    </row>
    <row r="555" spans="1:97">
      <c r="A555" s="397"/>
      <c r="B555" s="397"/>
      <c r="C555" s="397"/>
      <c r="D555" s="397"/>
      <c r="E555" s="397"/>
      <c r="F555" s="397"/>
      <c r="G555" s="180"/>
      <c r="H555" s="46"/>
      <c r="I555" s="53"/>
      <c r="J555" s="53"/>
      <c r="K555" s="192"/>
      <c r="L555" s="192"/>
      <c r="M555" s="192"/>
      <c r="N555" s="192"/>
      <c r="O555" s="192"/>
      <c r="P555" s="192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0"/>
      <c r="AK555" s="40"/>
      <c r="AL555" s="40"/>
      <c r="AM555" s="40"/>
      <c r="AN555" s="40"/>
      <c r="AO555" s="40"/>
      <c r="AP555" s="40"/>
      <c r="AQ555" s="40"/>
      <c r="AR555" s="40"/>
      <c r="AS555" s="40"/>
      <c r="AT555" s="40"/>
      <c r="AU555" s="40"/>
      <c r="AV555" s="40"/>
      <c r="AW555" s="40"/>
      <c r="AX555" s="40"/>
      <c r="AY555" s="40"/>
      <c r="AZ555" s="40"/>
      <c r="BA555" s="40"/>
      <c r="BB555" s="40"/>
      <c r="BC555" s="40"/>
      <c r="BD555" s="40"/>
      <c r="BE555" s="40"/>
      <c r="BF555" s="40"/>
      <c r="BG555" s="40"/>
      <c r="BH555" s="40"/>
      <c r="BI555" s="40"/>
      <c r="BJ555" s="40"/>
      <c r="BK555" s="40"/>
      <c r="BL555" s="40"/>
      <c r="BM555" s="40"/>
      <c r="BN555" s="40"/>
      <c r="BO555" s="40"/>
      <c r="BP555" s="40"/>
      <c r="BQ555" s="40"/>
      <c r="BR555" s="40"/>
      <c r="BS555" s="40"/>
      <c r="BT555" s="40"/>
      <c r="BU555" s="40"/>
      <c r="BV555" s="40"/>
      <c r="BW555" s="40"/>
      <c r="BX555" s="40"/>
      <c r="BY555" s="40"/>
      <c r="BZ555" s="40"/>
      <c r="CA555" s="40"/>
      <c r="CB555" s="40"/>
      <c r="CC555" s="40"/>
      <c r="CD555" s="40"/>
      <c r="CE555" s="40"/>
      <c r="CF555" s="40"/>
      <c r="CG555" s="40"/>
      <c r="CH555" s="40"/>
      <c r="CI555" s="40"/>
      <c r="CJ555" s="40"/>
      <c r="CK555" s="40"/>
      <c r="CL555" s="40"/>
      <c r="CM555" s="40"/>
      <c r="CN555" s="40"/>
      <c r="CO555" s="40"/>
      <c r="CP555" s="40"/>
      <c r="CQ555" s="40"/>
      <c r="CR555" s="40"/>
      <c r="CS555" s="40"/>
    </row>
    <row r="556" spans="1:97">
      <c r="A556" s="397"/>
      <c r="B556" s="397"/>
      <c r="C556" s="397"/>
      <c r="D556" s="397"/>
      <c r="E556" s="397"/>
      <c r="F556" s="397"/>
      <c r="G556" s="180"/>
      <c r="H556" s="46"/>
      <c r="I556" s="53"/>
      <c r="J556" s="53"/>
      <c r="K556" s="192"/>
      <c r="L556" s="192"/>
      <c r="M556" s="192"/>
      <c r="N556" s="192"/>
      <c r="O556" s="192"/>
      <c r="P556" s="192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0"/>
      <c r="AK556" s="40"/>
      <c r="AL556" s="40"/>
      <c r="AM556" s="40"/>
      <c r="AN556" s="40"/>
      <c r="AO556" s="40"/>
      <c r="AP556" s="40"/>
      <c r="AQ556" s="40"/>
      <c r="AR556" s="40"/>
      <c r="AS556" s="40"/>
      <c r="AT556" s="40"/>
      <c r="AU556" s="40"/>
      <c r="AV556" s="40"/>
      <c r="AW556" s="40"/>
      <c r="AX556" s="40"/>
      <c r="AY556" s="40"/>
      <c r="AZ556" s="40"/>
      <c r="BA556" s="40"/>
      <c r="BB556" s="40"/>
      <c r="BC556" s="40"/>
      <c r="BD556" s="40"/>
      <c r="BE556" s="40"/>
      <c r="BF556" s="40"/>
      <c r="BG556" s="40"/>
      <c r="BH556" s="40"/>
      <c r="BI556" s="40"/>
      <c r="BJ556" s="40"/>
      <c r="BK556" s="40"/>
      <c r="BL556" s="40"/>
      <c r="BM556" s="40"/>
      <c r="BN556" s="40"/>
      <c r="BO556" s="40"/>
      <c r="BP556" s="40"/>
      <c r="BQ556" s="40"/>
      <c r="BR556" s="40"/>
      <c r="BS556" s="40"/>
      <c r="BT556" s="40"/>
      <c r="BU556" s="40"/>
      <c r="BV556" s="40"/>
      <c r="BW556" s="40"/>
      <c r="BX556" s="40"/>
      <c r="BY556" s="40"/>
      <c r="BZ556" s="40"/>
      <c r="CA556" s="40"/>
      <c r="CB556" s="40"/>
      <c r="CC556" s="40"/>
      <c r="CD556" s="40"/>
      <c r="CE556" s="40"/>
      <c r="CF556" s="40"/>
      <c r="CG556" s="40"/>
      <c r="CH556" s="40"/>
      <c r="CI556" s="40"/>
      <c r="CJ556" s="40"/>
      <c r="CK556" s="40"/>
      <c r="CL556" s="40"/>
      <c r="CM556" s="40"/>
      <c r="CN556" s="40"/>
      <c r="CO556" s="40"/>
      <c r="CP556" s="40"/>
      <c r="CQ556" s="40"/>
      <c r="CR556" s="40"/>
      <c r="CS556" s="40"/>
    </row>
    <row r="557" spans="1:97">
      <c r="A557" s="397"/>
      <c r="B557" s="397"/>
      <c r="C557" s="397"/>
      <c r="D557" s="397"/>
      <c r="E557" s="397"/>
      <c r="F557" s="397"/>
      <c r="G557" s="180"/>
      <c r="H557" s="46"/>
      <c r="I557" s="53"/>
      <c r="J557" s="53"/>
      <c r="K557" s="192"/>
      <c r="L557" s="192"/>
      <c r="M557" s="192"/>
      <c r="N557" s="192"/>
      <c r="O557" s="192"/>
      <c r="P557" s="192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0"/>
      <c r="AK557" s="40"/>
      <c r="AL557" s="40"/>
      <c r="AM557" s="40"/>
      <c r="AN557" s="40"/>
      <c r="AO557" s="40"/>
      <c r="AP557" s="40"/>
      <c r="AQ557" s="40"/>
      <c r="AR557" s="40"/>
      <c r="AS557" s="40"/>
      <c r="AT557" s="40"/>
      <c r="AU557" s="40"/>
      <c r="AV557" s="40"/>
      <c r="AW557" s="40"/>
      <c r="AX557" s="40"/>
      <c r="AY557" s="40"/>
      <c r="AZ557" s="40"/>
      <c r="BA557" s="40"/>
      <c r="BB557" s="40"/>
      <c r="BC557" s="40"/>
      <c r="BD557" s="40"/>
      <c r="BE557" s="40"/>
      <c r="BF557" s="40"/>
      <c r="BG557" s="40"/>
      <c r="BH557" s="40"/>
      <c r="BI557" s="40"/>
      <c r="BJ557" s="40"/>
      <c r="BK557" s="40"/>
      <c r="BL557" s="40"/>
      <c r="BM557" s="40"/>
      <c r="BN557" s="40"/>
      <c r="BO557" s="40"/>
      <c r="BP557" s="40"/>
      <c r="BQ557" s="40"/>
      <c r="BR557" s="40"/>
      <c r="BS557" s="40"/>
      <c r="BT557" s="40"/>
      <c r="BU557" s="40"/>
      <c r="BV557" s="40"/>
      <c r="BW557" s="40"/>
      <c r="BX557" s="40"/>
      <c r="BY557" s="40"/>
      <c r="BZ557" s="40"/>
      <c r="CA557" s="40"/>
      <c r="CB557" s="40"/>
      <c r="CC557" s="40"/>
      <c r="CD557" s="40"/>
      <c r="CE557" s="40"/>
      <c r="CF557" s="40"/>
      <c r="CG557" s="40"/>
      <c r="CH557" s="40"/>
      <c r="CI557" s="40"/>
      <c r="CJ557" s="40"/>
      <c r="CK557" s="40"/>
      <c r="CL557" s="40"/>
      <c r="CM557" s="40"/>
      <c r="CN557" s="40"/>
      <c r="CO557" s="40"/>
      <c r="CP557" s="40"/>
      <c r="CQ557" s="40"/>
      <c r="CR557" s="40"/>
      <c r="CS557" s="40"/>
    </row>
    <row r="558" spans="1:97">
      <c r="A558" s="397"/>
      <c r="B558" s="397"/>
      <c r="C558" s="397"/>
      <c r="D558" s="397"/>
      <c r="E558" s="397"/>
      <c r="F558" s="397"/>
      <c r="G558" s="180"/>
      <c r="H558" s="46"/>
      <c r="I558" s="53"/>
      <c r="J558" s="53"/>
      <c r="K558" s="192"/>
      <c r="L558" s="192"/>
      <c r="M558" s="192"/>
      <c r="N558" s="192"/>
      <c r="O558" s="192"/>
      <c r="P558" s="192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  <c r="AK558" s="40"/>
      <c r="AL558" s="40"/>
      <c r="AM558" s="40"/>
      <c r="AN558" s="40"/>
      <c r="AO558" s="40"/>
      <c r="AP558" s="40"/>
      <c r="AQ558" s="40"/>
      <c r="AR558" s="40"/>
      <c r="AS558" s="40"/>
      <c r="AT558" s="40"/>
      <c r="AU558" s="40"/>
      <c r="AV558" s="40"/>
      <c r="AW558" s="40"/>
      <c r="AX558" s="40"/>
      <c r="AY558" s="40"/>
      <c r="AZ558" s="40"/>
      <c r="BA558" s="40"/>
      <c r="BB558" s="40"/>
      <c r="BC558" s="40"/>
      <c r="BD558" s="40"/>
      <c r="BE558" s="40"/>
      <c r="BF558" s="40"/>
      <c r="BG558" s="40"/>
      <c r="BH558" s="40"/>
      <c r="BI558" s="40"/>
      <c r="BJ558" s="40"/>
      <c r="BK558" s="40"/>
      <c r="BL558" s="40"/>
      <c r="BM558" s="40"/>
      <c r="BN558" s="40"/>
      <c r="BO558" s="40"/>
      <c r="BP558" s="40"/>
      <c r="BQ558" s="40"/>
      <c r="BR558" s="40"/>
      <c r="BS558" s="40"/>
      <c r="BT558" s="40"/>
      <c r="BU558" s="40"/>
      <c r="BV558" s="40"/>
      <c r="BW558" s="40"/>
      <c r="BX558" s="40"/>
      <c r="BY558" s="40"/>
      <c r="BZ558" s="40"/>
      <c r="CA558" s="40"/>
      <c r="CB558" s="40"/>
      <c r="CC558" s="40"/>
      <c r="CD558" s="40"/>
      <c r="CE558" s="40"/>
      <c r="CF558" s="40"/>
      <c r="CG558" s="40"/>
      <c r="CH558" s="40"/>
      <c r="CI558" s="40"/>
      <c r="CJ558" s="40"/>
      <c r="CK558" s="40"/>
      <c r="CL558" s="40"/>
      <c r="CM558" s="40"/>
      <c r="CN558" s="40"/>
      <c r="CO558" s="40"/>
      <c r="CP558" s="40"/>
      <c r="CQ558" s="40"/>
      <c r="CR558" s="40"/>
      <c r="CS558" s="40"/>
    </row>
    <row r="559" spans="1:97">
      <c r="A559" s="397"/>
      <c r="B559" s="397"/>
      <c r="C559" s="397"/>
      <c r="D559" s="397"/>
      <c r="E559" s="397"/>
      <c r="F559" s="397"/>
      <c r="G559" s="180"/>
      <c r="H559" s="46"/>
      <c r="I559" s="53"/>
      <c r="J559" s="53"/>
      <c r="K559" s="192"/>
      <c r="L559" s="192"/>
      <c r="M559" s="192"/>
      <c r="N559" s="192"/>
      <c r="O559" s="192"/>
      <c r="P559" s="192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0"/>
      <c r="AK559" s="40"/>
      <c r="AL559" s="40"/>
      <c r="AM559" s="40"/>
      <c r="AN559" s="40"/>
      <c r="AO559" s="40"/>
      <c r="AP559" s="40"/>
      <c r="AQ559" s="40"/>
      <c r="AR559" s="40"/>
      <c r="AS559" s="40"/>
      <c r="AT559" s="40"/>
      <c r="AU559" s="40"/>
      <c r="AV559" s="40"/>
      <c r="AW559" s="40"/>
      <c r="AX559" s="40"/>
      <c r="AY559" s="40"/>
      <c r="AZ559" s="40"/>
      <c r="BA559" s="40"/>
      <c r="BB559" s="40"/>
      <c r="BC559" s="40"/>
      <c r="BD559" s="40"/>
      <c r="BE559" s="40"/>
      <c r="BF559" s="40"/>
      <c r="BG559" s="40"/>
      <c r="BH559" s="40"/>
      <c r="BI559" s="40"/>
      <c r="BJ559" s="40"/>
      <c r="BK559" s="40"/>
      <c r="BL559" s="40"/>
      <c r="BM559" s="40"/>
      <c r="BN559" s="40"/>
      <c r="BO559" s="40"/>
      <c r="BP559" s="40"/>
      <c r="BQ559" s="40"/>
      <c r="BR559" s="40"/>
      <c r="BS559" s="40"/>
      <c r="BT559" s="40"/>
      <c r="BU559" s="40"/>
      <c r="BV559" s="40"/>
      <c r="BW559" s="40"/>
      <c r="BX559" s="40"/>
      <c r="BY559" s="40"/>
      <c r="BZ559" s="40"/>
      <c r="CA559" s="40"/>
      <c r="CB559" s="40"/>
      <c r="CC559" s="40"/>
      <c r="CD559" s="40"/>
      <c r="CE559" s="40"/>
      <c r="CF559" s="40"/>
      <c r="CG559" s="40"/>
      <c r="CH559" s="40"/>
      <c r="CI559" s="40"/>
      <c r="CJ559" s="40"/>
      <c r="CK559" s="40"/>
      <c r="CL559" s="40"/>
      <c r="CM559" s="40"/>
      <c r="CN559" s="40"/>
      <c r="CO559" s="40"/>
      <c r="CP559" s="40"/>
      <c r="CQ559" s="40"/>
      <c r="CR559" s="40"/>
      <c r="CS559" s="40"/>
    </row>
    <row r="560" spans="1:97">
      <c r="A560" s="397"/>
      <c r="B560" s="397"/>
      <c r="C560" s="397"/>
      <c r="D560" s="397"/>
      <c r="E560" s="397"/>
      <c r="F560" s="397"/>
      <c r="G560" s="180"/>
      <c r="H560" s="46"/>
      <c r="I560" s="53"/>
      <c r="J560" s="53"/>
      <c r="K560" s="192"/>
      <c r="L560" s="192"/>
      <c r="M560" s="192"/>
      <c r="N560" s="192"/>
      <c r="O560" s="192"/>
      <c r="P560" s="192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  <c r="AJ560" s="40"/>
      <c r="AK560" s="40"/>
      <c r="AL560" s="40"/>
      <c r="AM560" s="40"/>
      <c r="AN560" s="40"/>
      <c r="AO560" s="40"/>
      <c r="AP560" s="40"/>
      <c r="AQ560" s="40"/>
      <c r="AR560" s="40"/>
      <c r="AS560" s="40"/>
      <c r="AT560" s="40"/>
      <c r="AU560" s="40"/>
      <c r="AV560" s="40"/>
      <c r="AW560" s="40"/>
      <c r="AX560" s="40"/>
      <c r="AY560" s="40"/>
      <c r="AZ560" s="40"/>
      <c r="BA560" s="40"/>
      <c r="BB560" s="40"/>
      <c r="BC560" s="40"/>
      <c r="BD560" s="40"/>
      <c r="BE560" s="40"/>
      <c r="BF560" s="40"/>
      <c r="BG560" s="40"/>
      <c r="BH560" s="40"/>
      <c r="BI560" s="40"/>
      <c r="BJ560" s="40"/>
      <c r="BK560" s="40"/>
      <c r="BL560" s="40"/>
      <c r="BM560" s="40"/>
      <c r="BN560" s="40"/>
      <c r="BO560" s="40"/>
      <c r="BP560" s="40"/>
      <c r="BQ560" s="40"/>
      <c r="BR560" s="40"/>
      <c r="BS560" s="40"/>
      <c r="BT560" s="40"/>
      <c r="BU560" s="40"/>
      <c r="BV560" s="40"/>
      <c r="BW560" s="40"/>
      <c r="BX560" s="40"/>
      <c r="BY560" s="40"/>
      <c r="BZ560" s="40"/>
      <c r="CA560" s="40"/>
      <c r="CB560" s="40"/>
      <c r="CC560" s="40"/>
      <c r="CD560" s="40"/>
      <c r="CE560" s="40"/>
      <c r="CF560" s="40"/>
      <c r="CG560" s="40"/>
      <c r="CH560" s="40"/>
      <c r="CI560" s="40"/>
      <c r="CJ560" s="40"/>
      <c r="CK560" s="40"/>
      <c r="CL560" s="40"/>
      <c r="CM560" s="40"/>
      <c r="CN560" s="40"/>
      <c r="CO560" s="40"/>
      <c r="CP560" s="40"/>
      <c r="CQ560" s="40"/>
      <c r="CR560" s="40"/>
      <c r="CS560" s="40"/>
    </row>
    <row r="561" spans="1:97">
      <c r="A561" s="397"/>
      <c r="B561" s="397"/>
      <c r="C561" s="397"/>
      <c r="D561" s="397"/>
      <c r="E561" s="397"/>
      <c r="F561" s="397"/>
      <c r="G561" s="180"/>
      <c r="H561" s="46"/>
      <c r="I561" s="53"/>
      <c r="J561" s="53"/>
      <c r="K561" s="192"/>
      <c r="L561" s="192"/>
      <c r="M561" s="192"/>
      <c r="N561" s="192"/>
      <c r="O561" s="192"/>
      <c r="P561" s="192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  <c r="AJ561" s="40"/>
      <c r="AK561" s="40"/>
      <c r="AL561" s="40"/>
      <c r="AM561" s="40"/>
      <c r="AN561" s="40"/>
      <c r="AO561" s="40"/>
      <c r="AP561" s="40"/>
      <c r="AQ561" s="40"/>
      <c r="AR561" s="40"/>
      <c r="AS561" s="40"/>
      <c r="AT561" s="40"/>
      <c r="AU561" s="40"/>
      <c r="AV561" s="40"/>
      <c r="AW561" s="40"/>
      <c r="AX561" s="40"/>
      <c r="AY561" s="40"/>
      <c r="AZ561" s="40"/>
      <c r="BA561" s="40"/>
      <c r="BB561" s="40"/>
      <c r="BC561" s="40"/>
      <c r="BD561" s="40"/>
      <c r="BE561" s="40"/>
      <c r="BF561" s="40"/>
      <c r="BG561" s="40"/>
      <c r="BH561" s="40"/>
      <c r="BI561" s="40"/>
      <c r="BJ561" s="40"/>
      <c r="BK561" s="40"/>
      <c r="BL561" s="40"/>
      <c r="BM561" s="40"/>
      <c r="BN561" s="40"/>
      <c r="BO561" s="40"/>
      <c r="BP561" s="40"/>
      <c r="BQ561" s="40"/>
      <c r="BR561" s="40"/>
      <c r="BS561" s="40"/>
      <c r="BT561" s="40"/>
      <c r="BU561" s="40"/>
      <c r="BV561" s="40"/>
      <c r="BW561" s="40"/>
      <c r="BX561" s="40"/>
      <c r="BY561" s="40"/>
      <c r="BZ561" s="40"/>
      <c r="CA561" s="40"/>
      <c r="CB561" s="40"/>
      <c r="CC561" s="40"/>
      <c r="CD561" s="40"/>
      <c r="CE561" s="40"/>
      <c r="CF561" s="40"/>
      <c r="CG561" s="40"/>
      <c r="CH561" s="40"/>
      <c r="CI561" s="40"/>
      <c r="CJ561" s="40"/>
      <c r="CK561" s="40"/>
      <c r="CL561" s="40"/>
      <c r="CM561" s="40"/>
      <c r="CN561" s="40"/>
      <c r="CO561" s="40"/>
      <c r="CP561" s="40"/>
      <c r="CQ561" s="40"/>
      <c r="CR561" s="40"/>
      <c r="CS561" s="40"/>
    </row>
    <row r="562" spans="1:97">
      <c r="A562" s="397"/>
      <c r="B562" s="397"/>
      <c r="C562" s="397"/>
      <c r="D562" s="397"/>
      <c r="E562" s="397"/>
      <c r="F562" s="397"/>
      <c r="G562" s="180"/>
      <c r="H562" s="46"/>
      <c r="I562" s="53"/>
      <c r="J562" s="53"/>
      <c r="K562" s="192"/>
      <c r="L562" s="192"/>
      <c r="M562" s="192"/>
      <c r="N562" s="192"/>
      <c r="O562" s="192"/>
      <c r="P562" s="192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  <c r="AJ562" s="40"/>
      <c r="AK562" s="40"/>
      <c r="AL562" s="40"/>
      <c r="AM562" s="40"/>
      <c r="AN562" s="40"/>
      <c r="AO562" s="40"/>
      <c r="AP562" s="40"/>
      <c r="AQ562" s="40"/>
      <c r="AR562" s="40"/>
      <c r="AS562" s="40"/>
      <c r="AT562" s="40"/>
      <c r="AU562" s="40"/>
      <c r="AV562" s="40"/>
      <c r="AW562" s="40"/>
      <c r="AX562" s="40"/>
      <c r="AY562" s="40"/>
      <c r="AZ562" s="40"/>
      <c r="BA562" s="40"/>
      <c r="BB562" s="40"/>
      <c r="BC562" s="40"/>
      <c r="BD562" s="40"/>
      <c r="BE562" s="40"/>
      <c r="BF562" s="40"/>
      <c r="BG562" s="40"/>
      <c r="BH562" s="40"/>
      <c r="BI562" s="40"/>
      <c r="BJ562" s="40"/>
      <c r="BK562" s="40"/>
      <c r="BL562" s="40"/>
      <c r="BM562" s="40"/>
      <c r="BN562" s="40"/>
      <c r="BO562" s="40"/>
      <c r="BP562" s="40"/>
      <c r="BQ562" s="40"/>
      <c r="BR562" s="40"/>
      <c r="BS562" s="40"/>
      <c r="BT562" s="40"/>
      <c r="BU562" s="40"/>
      <c r="BV562" s="40"/>
      <c r="BW562" s="40"/>
      <c r="BX562" s="40"/>
      <c r="BY562" s="40"/>
      <c r="BZ562" s="40"/>
      <c r="CA562" s="40"/>
      <c r="CB562" s="40"/>
      <c r="CC562" s="40"/>
      <c r="CD562" s="40"/>
      <c r="CE562" s="40"/>
      <c r="CF562" s="40"/>
      <c r="CG562" s="40"/>
      <c r="CH562" s="40"/>
      <c r="CI562" s="40"/>
      <c r="CJ562" s="40"/>
      <c r="CK562" s="40"/>
      <c r="CL562" s="40"/>
      <c r="CM562" s="40"/>
      <c r="CN562" s="40"/>
      <c r="CO562" s="40"/>
      <c r="CP562" s="40"/>
      <c r="CQ562" s="40"/>
      <c r="CR562" s="40"/>
      <c r="CS562" s="40"/>
    </row>
    <row r="563" spans="1:97">
      <c r="A563" s="397"/>
      <c r="B563" s="397"/>
      <c r="C563" s="397"/>
      <c r="D563" s="397"/>
      <c r="E563" s="397"/>
      <c r="F563" s="397"/>
      <c r="G563" s="180"/>
      <c r="H563" s="46"/>
      <c r="I563" s="53"/>
      <c r="J563" s="53"/>
      <c r="K563" s="192"/>
      <c r="L563" s="192"/>
      <c r="M563" s="192"/>
      <c r="N563" s="192"/>
      <c r="O563" s="192"/>
      <c r="P563" s="192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  <c r="AK563" s="40"/>
      <c r="AL563" s="40"/>
      <c r="AM563" s="40"/>
      <c r="AN563" s="40"/>
      <c r="AO563" s="40"/>
      <c r="AP563" s="40"/>
      <c r="AQ563" s="40"/>
      <c r="AR563" s="40"/>
      <c r="AS563" s="40"/>
      <c r="AT563" s="40"/>
      <c r="AU563" s="40"/>
      <c r="AV563" s="40"/>
      <c r="AW563" s="40"/>
      <c r="AX563" s="40"/>
      <c r="AY563" s="40"/>
      <c r="AZ563" s="40"/>
      <c r="BA563" s="40"/>
      <c r="BB563" s="40"/>
      <c r="BC563" s="40"/>
      <c r="BD563" s="40"/>
      <c r="BE563" s="40"/>
      <c r="BF563" s="40"/>
      <c r="BG563" s="40"/>
      <c r="BH563" s="40"/>
      <c r="BI563" s="40"/>
      <c r="BJ563" s="40"/>
      <c r="BK563" s="40"/>
      <c r="BL563" s="40"/>
      <c r="BM563" s="40"/>
      <c r="BN563" s="40"/>
      <c r="BO563" s="40"/>
      <c r="BP563" s="40"/>
      <c r="BQ563" s="40"/>
      <c r="BR563" s="40"/>
      <c r="BS563" s="40"/>
      <c r="BT563" s="40"/>
      <c r="BU563" s="40"/>
      <c r="BV563" s="40"/>
      <c r="BW563" s="40"/>
      <c r="BX563" s="40"/>
      <c r="BY563" s="40"/>
      <c r="BZ563" s="40"/>
      <c r="CA563" s="40"/>
      <c r="CB563" s="40"/>
      <c r="CC563" s="40"/>
      <c r="CD563" s="40"/>
      <c r="CE563" s="40"/>
      <c r="CF563" s="40"/>
      <c r="CG563" s="40"/>
      <c r="CH563" s="40"/>
      <c r="CI563" s="40"/>
      <c r="CJ563" s="40"/>
      <c r="CK563" s="40"/>
      <c r="CL563" s="40"/>
      <c r="CM563" s="40"/>
      <c r="CN563" s="40"/>
      <c r="CO563" s="40"/>
      <c r="CP563" s="40"/>
      <c r="CQ563" s="40"/>
      <c r="CR563" s="40"/>
      <c r="CS563" s="40"/>
    </row>
    <row r="564" spans="1:97">
      <c r="A564" s="397"/>
      <c r="B564" s="397"/>
      <c r="C564" s="397"/>
      <c r="D564" s="397"/>
      <c r="E564" s="397"/>
      <c r="F564" s="397"/>
      <c r="G564" s="180"/>
      <c r="H564" s="46"/>
      <c r="I564" s="53"/>
      <c r="J564" s="53"/>
      <c r="K564" s="192"/>
      <c r="L564" s="192"/>
      <c r="M564" s="192"/>
      <c r="N564" s="192"/>
      <c r="O564" s="192"/>
      <c r="P564" s="192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  <c r="AK564" s="40"/>
      <c r="AL564" s="40"/>
      <c r="AM564" s="40"/>
      <c r="AN564" s="40"/>
      <c r="AO564" s="40"/>
      <c r="AP564" s="40"/>
      <c r="AQ564" s="40"/>
      <c r="AR564" s="40"/>
      <c r="AS564" s="40"/>
      <c r="AT564" s="40"/>
      <c r="AU564" s="40"/>
      <c r="AV564" s="40"/>
      <c r="AW564" s="40"/>
      <c r="AX564" s="40"/>
      <c r="AY564" s="40"/>
      <c r="AZ564" s="40"/>
      <c r="BA564" s="40"/>
      <c r="BB564" s="40"/>
      <c r="BC564" s="40"/>
      <c r="BD564" s="40"/>
      <c r="BE564" s="40"/>
      <c r="BF564" s="40"/>
      <c r="BG564" s="40"/>
      <c r="BH564" s="40"/>
      <c r="BI564" s="40"/>
      <c r="BJ564" s="40"/>
      <c r="BK564" s="40"/>
      <c r="BL564" s="40"/>
      <c r="BM564" s="40"/>
      <c r="BN564" s="40"/>
      <c r="BO564" s="40"/>
      <c r="BP564" s="40"/>
      <c r="BQ564" s="40"/>
      <c r="BR564" s="40"/>
      <c r="BS564" s="40"/>
      <c r="BT564" s="40"/>
      <c r="BU564" s="40"/>
      <c r="BV564" s="40"/>
      <c r="BW564" s="40"/>
      <c r="BX564" s="40"/>
      <c r="BY564" s="40"/>
      <c r="BZ564" s="40"/>
      <c r="CA564" s="40"/>
      <c r="CB564" s="40"/>
      <c r="CC564" s="40"/>
      <c r="CD564" s="40"/>
      <c r="CE564" s="40"/>
      <c r="CF564" s="40"/>
      <c r="CG564" s="40"/>
      <c r="CH564" s="40"/>
      <c r="CI564" s="40"/>
      <c r="CJ564" s="40"/>
      <c r="CK564" s="40"/>
      <c r="CL564" s="40"/>
      <c r="CM564" s="40"/>
      <c r="CN564" s="40"/>
      <c r="CO564" s="40"/>
      <c r="CP564" s="40"/>
      <c r="CQ564" s="40"/>
      <c r="CR564" s="40"/>
      <c r="CS564" s="40"/>
    </row>
    <row r="565" spans="1:97">
      <c r="A565" s="397"/>
      <c r="B565" s="397"/>
      <c r="C565" s="397"/>
      <c r="D565" s="397"/>
      <c r="E565" s="397"/>
      <c r="F565" s="397"/>
      <c r="G565" s="180"/>
      <c r="H565" s="46"/>
      <c r="I565" s="53"/>
      <c r="J565" s="53"/>
      <c r="K565" s="192"/>
      <c r="L565" s="192"/>
      <c r="M565" s="192"/>
      <c r="N565" s="192"/>
      <c r="O565" s="192"/>
      <c r="P565" s="192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  <c r="AK565" s="40"/>
      <c r="AL565" s="40"/>
      <c r="AM565" s="40"/>
      <c r="AN565" s="40"/>
      <c r="AO565" s="40"/>
      <c r="AP565" s="40"/>
      <c r="AQ565" s="40"/>
      <c r="AR565" s="40"/>
      <c r="AS565" s="40"/>
      <c r="AT565" s="40"/>
      <c r="AU565" s="40"/>
      <c r="AV565" s="40"/>
      <c r="AW565" s="40"/>
      <c r="AX565" s="40"/>
      <c r="AY565" s="40"/>
      <c r="AZ565" s="40"/>
      <c r="BA565" s="40"/>
      <c r="BB565" s="40"/>
      <c r="BC565" s="40"/>
      <c r="BD565" s="40"/>
      <c r="BE565" s="40"/>
      <c r="BF565" s="40"/>
      <c r="BG565" s="40"/>
      <c r="BH565" s="40"/>
      <c r="BI565" s="40"/>
      <c r="BJ565" s="40"/>
      <c r="BK565" s="40"/>
      <c r="BL565" s="40"/>
      <c r="BM565" s="40"/>
      <c r="BN565" s="40"/>
      <c r="BO565" s="40"/>
      <c r="BP565" s="40"/>
      <c r="BQ565" s="40"/>
      <c r="BR565" s="40"/>
      <c r="BS565" s="40"/>
      <c r="BT565" s="40"/>
      <c r="BU565" s="40"/>
      <c r="BV565" s="40"/>
      <c r="BW565" s="40"/>
      <c r="BX565" s="40"/>
      <c r="BY565" s="40"/>
      <c r="BZ565" s="40"/>
      <c r="CA565" s="40"/>
      <c r="CB565" s="40"/>
      <c r="CC565" s="40"/>
      <c r="CD565" s="40"/>
      <c r="CE565" s="40"/>
      <c r="CF565" s="40"/>
      <c r="CG565" s="40"/>
      <c r="CH565" s="40"/>
      <c r="CI565" s="40"/>
      <c r="CJ565" s="40"/>
      <c r="CK565" s="40"/>
      <c r="CL565" s="40"/>
      <c r="CM565" s="40"/>
      <c r="CN565" s="40"/>
      <c r="CO565" s="40"/>
      <c r="CP565" s="40"/>
      <c r="CQ565" s="40"/>
      <c r="CR565" s="40"/>
      <c r="CS565" s="40"/>
    </row>
    <row r="566" spans="1:97">
      <c r="A566" s="397"/>
      <c r="B566" s="397"/>
      <c r="C566" s="397"/>
      <c r="D566" s="397"/>
      <c r="E566" s="397"/>
      <c r="F566" s="397"/>
      <c r="G566" s="180"/>
      <c r="H566" s="46"/>
      <c r="I566" s="53"/>
      <c r="J566" s="53"/>
      <c r="K566" s="192"/>
      <c r="L566" s="192"/>
      <c r="M566" s="192"/>
      <c r="N566" s="192"/>
      <c r="O566" s="192"/>
      <c r="P566" s="192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  <c r="AH566" s="40"/>
      <c r="AI566" s="40"/>
      <c r="AJ566" s="40"/>
      <c r="AK566" s="40"/>
      <c r="AL566" s="40"/>
      <c r="AM566" s="40"/>
      <c r="AN566" s="40"/>
      <c r="AO566" s="40"/>
      <c r="AP566" s="40"/>
      <c r="AQ566" s="40"/>
      <c r="AR566" s="40"/>
      <c r="AS566" s="40"/>
      <c r="AT566" s="40"/>
      <c r="AU566" s="40"/>
      <c r="AV566" s="40"/>
      <c r="AW566" s="40"/>
      <c r="AX566" s="40"/>
      <c r="AY566" s="40"/>
      <c r="AZ566" s="40"/>
      <c r="BA566" s="40"/>
      <c r="BB566" s="40"/>
      <c r="BC566" s="40"/>
      <c r="BD566" s="40"/>
      <c r="BE566" s="40"/>
      <c r="BF566" s="40"/>
      <c r="BG566" s="40"/>
      <c r="BH566" s="40"/>
      <c r="BI566" s="40"/>
      <c r="BJ566" s="40"/>
      <c r="BK566" s="40"/>
      <c r="BL566" s="40"/>
      <c r="BM566" s="40"/>
      <c r="BN566" s="40"/>
      <c r="BO566" s="40"/>
      <c r="BP566" s="40"/>
      <c r="BQ566" s="40"/>
      <c r="BR566" s="40"/>
      <c r="BS566" s="40"/>
      <c r="BT566" s="40"/>
      <c r="BU566" s="40"/>
      <c r="BV566" s="40"/>
      <c r="BW566" s="40"/>
      <c r="BX566" s="40"/>
      <c r="BY566" s="40"/>
      <c r="BZ566" s="40"/>
      <c r="CA566" s="40"/>
      <c r="CB566" s="40"/>
      <c r="CC566" s="40"/>
      <c r="CD566" s="40"/>
      <c r="CE566" s="40"/>
      <c r="CF566" s="40"/>
      <c r="CG566" s="40"/>
      <c r="CH566" s="40"/>
      <c r="CI566" s="40"/>
      <c r="CJ566" s="40"/>
      <c r="CK566" s="40"/>
      <c r="CL566" s="40"/>
      <c r="CM566" s="40"/>
      <c r="CN566" s="40"/>
      <c r="CO566" s="40"/>
      <c r="CP566" s="40"/>
      <c r="CQ566" s="40"/>
      <c r="CR566" s="40"/>
      <c r="CS566" s="40"/>
    </row>
    <row r="567" spans="1:97">
      <c r="A567" s="397"/>
      <c r="B567" s="397"/>
      <c r="C567" s="397"/>
      <c r="D567" s="397"/>
      <c r="E567" s="397"/>
      <c r="F567" s="397"/>
      <c r="G567" s="180"/>
      <c r="H567" s="46"/>
      <c r="I567" s="53"/>
      <c r="J567" s="53"/>
      <c r="K567" s="192"/>
      <c r="L567" s="192"/>
      <c r="M567" s="192"/>
      <c r="N567" s="192"/>
      <c r="O567" s="192"/>
      <c r="P567" s="192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  <c r="AH567" s="40"/>
      <c r="AI567" s="40"/>
      <c r="AJ567" s="40"/>
      <c r="AK567" s="40"/>
      <c r="AL567" s="40"/>
      <c r="AM567" s="40"/>
      <c r="AN567" s="40"/>
      <c r="AO567" s="40"/>
      <c r="AP567" s="40"/>
      <c r="AQ567" s="40"/>
      <c r="AR567" s="40"/>
      <c r="AS567" s="40"/>
      <c r="AT567" s="40"/>
      <c r="AU567" s="40"/>
      <c r="AV567" s="40"/>
      <c r="AW567" s="40"/>
      <c r="AX567" s="40"/>
      <c r="AY567" s="40"/>
      <c r="AZ567" s="40"/>
      <c r="BA567" s="40"/>
      <c r="BB567" s="40"/>
      <c r="BC567" s="40"/>
      <c r="BD567" s="40"/>
      <c r="BE567" s="40"/>
      <c r="BF567" s="40"/>
      <c r="BG567" s="40"/>
      <c r="BH567" s="40"/>
      <c r="BI567" s="40"/>
      <c r="BJ567" s="40"/>
      <c r="BK567" s="40"/>
      <c r="BL567" s="40"/>
      <c r="BM567" s="40"/>
      <c r="BN567" s="40"/>
      <c r="BO567" s="40"/>
      <c r="BP567" s="40"/>
      <c r="BQ567" s="40"/>
      <c r="BR567" s="40"/>
      <c r="BS567" s="40"/>
      <c r="BT567" s="40"/>
      <c r="BU567" s="40"/>
      <c r="BV567" s="40"/>
      <c r="BW567" s="40"/>
      <c r="BX567" s="40"/>
      <c r="BY567" s="40"/>
      <c r="BZ567" s="40"/>
      <c r="CA567" s="40"/>
      <c r="CB567" s="40"/>
      <c r="CC567" s="40"/>
      <c r="CD567" s="40"/>
      <c r="CE567" s="40"/>
      <c r="CF567" s="40"/>
      <c r="CG567" s="40"/>
      <c r="CH567" s="40"/>
      <c r="CI567" s="40"/>
      <c r="CJ567" s="40"/>
      <c r="CK567" s="40"/>
      <c r="CL567" s="40"/>
      <c r="CM567" s="40"/>
      <c r="CN567" s="40"/>
      <c r="CO567" s="40"/>
      <c r="CP567" s="40"/>
      <c r="CQ567" s="40"/>
      <c r="CR567" s="40"/>
      <c r="CS567" s="40"/>
    </row>
    <row r="568" spans="1:97">
      <c r="A568" s="397"/>
      <c r="B568" s="397"/>
      <c r="C568" s="397"/>
      <c r="D568" s="397"/>
      <c r="E568" s="397"/>
      <c r="F568" s="397"/>
      <c r="G568" s="180"/>
      <c r="H568" s="46"/>
      <c r="I568" s="53"/>
      <c r="J568" s="53"/>
      <c r="K568" s="192"/>
      <c r="L568" s="192"/>
      <c r="M568" s="192"/>
      <c r="N568" s="192"/>
      <c r="O568" s="192"/>
      <c r="P568" s="192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  <c r="AH568" s="40"/>
      <c r="AI568" s="40"/>
      <c r="AJ568" s="40"/>
      <c r="AK568" s="40"/>
      <c r="AL568" s="40"/>
      <c r="AM568" s="40"/>
      <c r="AN568" s="40"/>
      <c r="AO568" s="40"/>
      <c r="AP568" s="40"/>
      <c r="AQ568" s="40"/>
      <c r="AR568" s="40"/>
      <c r="AS568" s="40"/>
      <c r="AT568" s="40"/>
      <c r="AU568" s="40"/>
      <c r="AV568" s="40"/>
      <c r="AW568" s="40"/>
      <c r="AX568" s="40"/>
      <c r="AY568" s="40"/>
      <c r="AZ568" s="40"/>
      <c r="BA568" s="40"/>
      <c r="BB568" s="40"/>
      <c r="BC568" s="40"/>
      <c r="BD568" s="40"/>
      <c r="BE568" s="40"/>
      <c r="BF568" s="40"/>
      <c r="BG568" s="40"/>
      <c r="BH568" s="40"/>
      <c r="BI568" s="40"/>
      <c r="BJ568" s="40"/>
      <c r="BK568" s="40"/>
      <c r="BL568" s="40"/>
      <c r="BM568" s="40"/>
      <c r="BN568" s="40"/>
      <c r="BO568" s="40"/>
      <c r="BP568" s="40"/>
      <c r="BQ568" s="40"/>
      <c r="BR568" s="40"/>
      <c r="BS568" s="40"/>
      <c r="BT568" s="40"/>
      <c r="BU568" s="40"/>
      <c r="BV568" s="40"/>
      <c r="BW568" s="40"/>
      <c r="BX568" s="40"/>
      <c r="BY568" s="40"/>
      <c r="BZ568" s="40"/>
      <c r="CA568" s="40"/>
      <c r="CB568" s="40"/>
      <c r="CC568" s="40"/>
      <c r="CD568" s="40"/>
      <c r="CE568" s="40"/>
      <c r="CF568" s="40"/>
      <c r="CG568" s="40"/>
      <c r="CH568" s="40"/>
      <c r="CI568" s="40"/>
      <c r="CJ568" s="40"/>
      <c r="CK568" s="40"/>
      <c r="CL568" s="40"/>
      <c r="CM568" s="40"/>
      <c r="CN568" s="40"/>
      <c r="CO568" s="40"/>
      <c r="CP568" s="40"/>
      <c r="CQ568" s="40"/>
      <c r="CR568" s="40"/>
      <c r="CS568" s="40"/>
    </row>
    <row r="569" spans="1:97">
      <c r="A569" s="397"/>
      <c r="B569" s="397"/>
      <c r="C569" s="397"/>
      <c r="D569" s="397"/>
      <c r="E569" s="397"/>
      <c r="F569" s="397"/>
      <c r="G569" s="180"/>
      <c r="H569" s="46"/>
      <c r="I569" s="53"/>
      <c r="J569" s="53"/>
      <c r="K569" s="192"/>
      <c r="L569" s="192"/>
      <c r="M569" s="192"/>
      <c r="N569" s="192"/>
      <c r="O569" s="192"/>
      <c r="P569" s="192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  <c r="AH569" s="40"/>
      <c r="AI569" s="40"/>
      <c r="AJ569" s="40"/>
      <c r="AK569" s="40"/>
      <c r="AL569" s="40"/>
      <c r="AM569" s="40"/>
      <c r="AN569" s="40"/>
      <c r="AO569" s="40"/>
      <c r="AP569" s="40"/>
      <c r="AQ569" s="40"/>
      <c r="AR569" s="40"/>
      <c r="AS569" s="40"/>
      <c r="AT569" s="40"/>
      <c r="AU569" s="40"/>
      <c r="AV569" s="40"/>
      <c r="AW569" s="40"/>
      <c r="AX569" s="40"/>
      <c r="AY569" s="40"/>
      <c r="AZ569" s="40"/>
      <c r="BA569" s="40"/>
      <c r="BB569" s="40"/>
      <c r="BC569" s="40"/>
      <c r="BD569" s="40"/>
      <c r="BE569" s="40"/>
      <c r="BF569" s="40"/>
      <c r="BG569" s="40"/>
      <c r="BH569" s="40"/>
      <c r="BI569" s="40"/>
      <c r="BJ569" s="40"/>
      <c r="BK569" s="40"/>
      <c r="BL569" s="40"/>
      <c r="BM569" s="40"/>
      <c r="BN569" s="40"/>
      <c r="BO569" s="40"/>
      <c r="BP569" s="40"/>
      <c r="BQ569" s="40"/>
      <c r="BR569" s="40"/>
      <c r="BS569" s="40"/>
      <c r="BT569" s="40"/>
      <c r="BU569" s="40"/>
      <c r="BV569" s="40"/>
      <c r="BW569" s="40"/>
      <c r="BX569" s="40"/>
      <c r="BY569" s="40"/>
      <c r="BZ569" s="40"/>
      <c r="CA569" s="40"/>
      <c r="CB569" s="40"/>
      <c r="CC569" s="40"/>
      <c r="CD569" s="40"/>
      <c r="CE569" s="40"/>
      <c r="CF569" s="40"/>
      <c r="CG569" s="40"/>
      <c r="CH569" s="40"/>
      <c r="CI569" s="40"/>
      <c r="CJ569" s="40"/>
      <c r="CK569" s="40"/>
      <c r="CL569" s="40"/>
      <c r="CM569" s="40"/>
      <c r="CN569" s="40"/>
      <c r="CO569" s="40"/>
      <c r="CP569" s="40"/>
      <c r="CQ569" s="40"/>
      <c r="CR569" s="40"/>
      <c r="CS569" s="40"/>
    </row>
    <row r="570" spans="1:97">
      <c r="A570" s="397"/>
      <c r="B570" s="397"/>
      <c r="C570" s="397"/>
      <c r="D570" s="397"/>
      <c r="E570" s="397"/>
      <c r="F570" s="397"/>
      <c r="G570" s="180"/>
      <c r="H570" s="46"/>
      <c r="I570" s="53"/>
      <c r="J570" s="53"/>
      <c r="K570" s="192"/>
      <c r="L570" s="192"/>
      <c r="M570" s="192"/>
      <c r="N570" s="192"/>
      <c r="O570" s="192"/>
      <c r="P570" s="192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  <c r="AJ570" s="40"/>
      <c r="AK570" s="40"/>
      <c r="AL570" s="40"/>
      <c r="AM570" s="40"/>
      <c r="AN570" s="40"/>
      <c r="AO570" s="40"/>
      <c r="AP570" s="40"/>
      <c r="AQ570" s="40"/>
      <c r="AR570" s="40"/>
      <c r="AS570" s="40"/>
      <c r="AT570" s="40"/>
      <c r="AU570" s="40"/>
      <c r="AV570" s="40"/>
      <c r="AW570" s="40"/>
      <c r="AX570" s="40"/>
      <c r="AY570" s="40"/>
      <c r="AZ570" s="40"/>
      <c r="BA570" s="40"/>
      <c r="BB570" s="40"/>
      <c r="BC570" s="40"/>
      <c r="BD570" s="40"/>
      <c r="BE570" s="40"/>
      <c r="BF570" s="40"/>
      <c r="BG570" s="40"/>
      <c r="BH570" s="40"/>
      <c r="BI570" s="40"/>
      <c r="BJ570" s="40"/>
      <c r="BK570" s="40"/>
      <c r="BL570" s="40"/>
      <c r="BM570" s="40"/>
      <c r="BN570" s="40"/>
      <c r="BO570" s="40"/>
      <c r="BP570" s="40"/>
      <c r="BQ570" s="40"/>
      <c r="BR570" s="40"/>
      <c r="BS570" s="40"/>
      <c r="BT570" s="40"/>
      <c r="BU570" s="40"/>
      <c r="BV570" s="40"/>
      <c r="BW570" s="40"/>
      <c r="BX570" s="40"/>
      <c r="BY570" s="40"/>
      <c r="BZ570" s="40"/>
      <c r="CA570" s="40"/>
      <c r="CB570" s="40"/>
      <c r="CC570" s="40"/>
      <c r="CD570" s="40"/>
      <c r="CE570" s="40"/>
      <c r="CF570" s="40"/>
      <c r="CG570" s="40"/>
      <c r="CH570" s="40"/>
      <c r="CI570" s="40"/>
      <c r="CJ570" s="40"/>
      <c r="CK570" s="40"/>
      <c r="CL570" s="40"/>
      <c r="CM570" s="40"/>
      <c r="CN570" s="40"/>
      <c r="CO570" s="40"/>
      <c r="CP570" s="40"/>
      <c r="CQ570" s="40"/>
      <c r="CR570" s="40"/>
      <c r="CS570" s="40"/>
    </row>
    <row r="571" spans="1:97">
      <c r="A571" s="397"/>
      <c r="B571" s="397"/>
      <c r="C571" s="397"/>
      <c r="D571" s="397"/>
      <c r="E571" s="397"/>
      <c r="F571" s="397"/>
      <c r="G571" s="180"/>
      <c r="H571" s="46"/>
      <c r="I571" s="53"/>
      <c r="J571" s="53"/>
      <c r="K571" s="192"/>
      <c r="L571" s="192"/>
      <c r="M571" s="192"/>
      <c r="N571" s="192"/>
      <c r="O571" s="192"/>
      <c r="P571" s="192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  <c r="AJ571" s="40"/>
      <c r="AK571" s="40"/>
      <c r="AL571" s="40"/>
      <c r="AM571" s="40"/>
      <c r="AN571" s="40"/>
      <c r="AO571" s="40"/>
      <c r="AP571" s="40"/>
      <c r="AQ571" s="40"/>
      <c r="AR571" s="40"/>
      <c r="AS571" s="40"/>
      <c r="AT571" s="40"/>
      <c r="AU571" s="40"/>
      <c r="AV571" s="40"/>
      <c r="AW571" s="40"/>
      <c r="AX571" s="40"/>
      <c r="AY571" s="40"/>
      <c r="AZ571" s="40"/>
      <c r="BA571" s="40"/>
      <c r="BB571" s="40"/>
      <c r="BC571" s="40"/>
      <c r="BD571" s="40"/>
      <c r="BE571" s="40"/>
      <c r="BF571" s="40"/>
      <c r="BG571" s="40"/>
      <c r="BH571" s="40"/>
      <c r="BI571" s="40"/>
      <c r="BJ571" s="40"/>
      <c r="BK571" s="40"/>
      <c r="BL571" s="40"/>
      <c r="BM571" s="40"/>
      <c r="BN571" s="40"/>
      <c r="BO571" s="40"/>
      <c r="BP571" s="40"/>
      <c r="BQ571" s="40"/>
      <c r="BR571" s="40"/>
      <c r="BS571" s="40"/>
      <c r="BT571" s="40"/>
      <c r="BU571" s="40"/>
      <c r="BV571" s="40"/>
      <c r="BW571" s="40"/>
      <c r="BX571" s="40"/>
      <c r="BY571" s="40"/>
      <c r="BZ571" s="40"/>
      <c r="CA571" s="40"/>
      <c r="CB571" s="40"/>
      <c r="CC571" s="40"/>
      <c r="CD571" s="40"/>
      <c r="CE571" s="40"/>
      <c r="CF571" s="40"/>
      <c r="CG571" s="40"/>
      <c r="CH571" s="40"/>
      <c r="CI571" s="40"/>
      <c r="CJ571" s="40"/>
      <c r="CK571" s="40"/>
      <c r="CL571" s="40"/>
      <c r="CM571" s="40"/>
      <c r="CN571" s="40"/>
      <c r="CO571" s="40"/>
      <c r="CP571" s="40"/>
      <c r="CQ571" s="40"/>
      <c r="CR571" s="40"/>
      <c r="CS571" s="40"/>
    </row>
    <row r="572" spans="1:97">
      <c r="A572" s="397"/>
      <c r="B572" s="397"/>
      <c r="C572" s="397"/>
      <c r="D572" s="397"/>
      <c r="E572" s="397"/>
      <c r="F572" s="397"/>
      <c r="G572" s="180"/>
      <c r="H572" s="46"/>
      <c r="I572" s="53"/>
      <c r="J572" s="53"/>
      <c r="K572" s="192"/>
      <c r="L572" s="192"/>
      <c r="M572" s="192"/>
      <c r="N572" s="192"/>
      <c r="O572" s="192"/>
      <c r="P572" s="192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  <c r="AJ572" s="40"/>
      <c r="AK572" s="40"/>
      <c r="AL572" s="40"/>
      <c r="AM572" s="40"/>
      <c r="AN572" s="40"/>
      <c r="AO572" s="40"/>
      <c r="AP572" s="40"/>
      <c r="AQ572" s="40"/>
      <c r="AR572" s="40"/>
      <c r="AS572" s="40"/>
      <c r="AT572" s="40"/>
      <c r="AU572" s="40"/>
      <c r="AV572" s="40"/>
      <c r="AW572" s="40"/>
      <c r="AX572" s="40"/>
      <c r="AY572" s="40"/>
      <c r="AZ572" s="40"/>
      <c r="BA572" s="40"/>
      <c r="BB572" s="40"/>
      <c r="BC572" s="40"/>
      <c r="BD572" s="40"/>
      <c r="BE572" s="40"/>
      <c r="BF572" s="40"/>
      <c r="BG572" s="40"/>
      <c r="BH572" s="40"/>
      <c r="BI572" s="40"/>
      <c r="BJ572" s="40"/>
      <c r="BK572" s="40"/>
      <c r="BL572" s="40"/>
      <c r="BM572" s="40"/>
      <c r="BN572" s="40"/>
      <c r="BO572" s="40"/>
      <c r="BP572" s="40"/>
      <c r="BQ572" s="40"/>
      <c r="BR572" s="40"/>
      <c r="BS572" s="40"/>
      <c r="BT572" s="40"/>
      <c r="BU572" s="40"/>
      <c r="BV572" s="40"/>
      <c r="BW572" s="40"/>
      <c r="BX572" s="40"/>
      <c r="BY572" s="40"/>
      <c r="BZ572" s="40"/>
      <c r="CA572" s="40"/>
      <c r="CB572" s="40"/>
      <c r="CC572" s="40"/>
      <c r="CD572" s="40"/>
      <c r="CE572" s="40"/>
      <c r="CF572" s="40"/>
      <c r="CG572" s="40"/>
      <c r="CH572" s="40"/>
      <c r="CI572" s="40"/>
      <c r="CJ572" s="40"/>
      <c r="CK572" s="40"/>
      <c r="CL572" s="40"/>
      <c r="CM572" s="40"/>
      <c r="CN572" s="40"/>
      <c r="CO572" s="40"/>
      <c r="CP572" s="40"/>
      <c r="CQ572" s="40"/>
      <c r="CR572" s="40"/>
      <c r="CS572" s="40"/>
    </row>
    <row r="573" spans="1:97">
      <c r="A573" s="397"/>
      <c r="B573" s="397"/>
      <c r="C573" s="397"/>
      <c r="D573" s="397"/>
      <c r="E573" s="397"/>
      <c r="F573" s="397"/>
      <c r="G573" s="180"/>
      <c r="H573" s="46"/>
      <c r="I573" s="53"/>
      <c r="J573" s="53"/>
      <c r="K573" s="192"/>
      <c r="L573" s="192"/>
      <c r="M573" s="192"/>
      <c r="N573" s="192"/>
      <c r="O573" s="192"/>
      <c r="P573" s="192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  <c r="AJ573" s="40"/>
      <c r="AK573" s="40"/>
      <c r="AL573" s="40"/>
      <c r="AM573" s="40"/>
      <c r="AN573" s="40"/>
      <c r="AO573" s="40"/>
      <c r="AP573" s="40"/>
      <c r="AQ573" s="40"/>
      <c r="AR573" s="40"/>
      <c r="AS573" s="40"/>
      <c r="AT573" s="40"/>
      <c r="AU573" s="40"/>
      <c r="AV573" s="40"/>
      <c r="AW573" s="40"/>
      <c r="AX573" s="40"/>
      <c r="AY573" s="40"/>
      <c r="AZ573" s="40"/>
      <c r="BA573" s="40"/>
      <c r="BB573" s="40"/>
      <c r="BC573" s="40"/>
      <c r="BD573" s="40"/>
      <c r="BE573" s="40"/>
      <c r="BF573" s="40"/>
      <c r="BG573" s="40"/>
      <c r="BH573" s="40"/>
      <c r="BI573" s="40"/>
      <c r="BJ573" s="40"/>
      <c r="BK573" s="40"/>
      <c r="BL573" s="40"/>
      <c r="BM573" s="40"/>
      <c r="BN573" s="40"/>
      <c r="BO573" s="40"/>
      <c r="BP573" s="40"/>
      <c r="BQ573" s="40"/>
      <c r="BR573" s="40"/>
      <c r="BS573" s="40"/>
      <c r="BT573" s="40"/>
      <c r="BU573" s="40"/>
      <c r="BV573" s="40"/>
      <c r="BW573" s="40"/>
      <c r="BX573" s="40"/>
      <c r="BY573" s="40"/>
      <c r="BZ573" s="40"/>
      <c r="CA573" s="40"/>
      <c r="CB573" s="40"/>
      <c r="CC573" s="40"/>
      <c r="CD573" s="40"/>
      <c r="CE573" s="40"/>
      <c r="CF573" s="40"/>
      <c r="CG573" s="40"/>
      <c r="CH573" s="40"/>
      <c r="CI573" s="40"/>
      <c r="CJ573" s="40"/>
      <c r="CK573" s="40"/>
      <c r="CL573" s="40"/>
      <c r="CM573" s="40"/>
      <c r="CN573" s="40"/>
      <c r="CO573" s="40"/>
      <c r="CP573" s="40"/>
      <c r="CQ573" s="40"/>
      <c r="CR573" s="40"/>
      <c r="CS573" s="40"/>
    </row>
    <row r="574" spans="1:97">
      <c r="A574" s="397"/>
      <c r="B574" s="397"/>
      <c r="C574" s="397"/>
      <c r="D574" s="397"/>
      <c r="E574" s="397"/>
      <c r="F574" s="397"/>
      <c r="G574" s="180"/>
      <c r="H574" s="46"/>
      <c r="I574" s="53"/>
      <c r="J574" s="53"/>
      <c r="K574" s="192"/>
      <c r="L574" s="192"/>
      <c r="M574" s="192"/>
      <c r="N574" s="192"/>
      <c r="O574" s="192"/>
      <c r="P574" s="192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  <c r="AK574" s="40"/>
      <c r="AL574" s="40"/>
      <c r="AM574" s="40"/>
      <c r="AN574" s="40"/>
      <c r="AO574" s="40"/>
      <c r="AP574" s="40"/>
      <c r="AQ574" s="40"/>
      <c r="AR574" s="40"/>
      <c r="AS574" s="40"/>
      <c r="AT574" s="40"/>
      <c r="AU574" s="40"/>
      <c r="AV574" s="40"/>
      <c r="AW574" s="40"/>
      <c r="AX574" s="40"/>
      <c r="AY574" s="40"/>
      <c r="AZ574" s="40"/>
      <c r="BA574" s="40"/>
      <c r="BB574" s="40"/>
      <c r="BC574" s="40"/>
      <c r="BD574" s="40"/>
      <c r="BE574" s="40"/>
      <c r="BF574" s="40"/>
      <c r="BG574" s="40"/>
      <c r="BH574" s="40"/>
      <c r="BI574" s="40"/>
      <c r="BJ574" s="40"/>
      <c r="BK574" s="40"/>
      <c r="BL574" s="40"/>
      <c r="BM574" s="40"/>
      <c r="BN574" s="40"/>
      <c r="BO574" s="40"/>
      <c r="BP574" s="40"/>
      <c r="BQ574" s="40"/>
      <c r="BR574" s="40"/>
      <c r="BS574" s="40"/>
      <c r="BT574" s="40"/>
      <c r="BU574" s="40"/>
      <c r="BV574" s="40"/>
      <c r="BW574" s="40"/>
      <c r="BX574" s="40"/>
      <c r="BY574" s="40"/>
      <c r="BZ574" s="40"/>
      <c r="CA574" s="40"/>
      <c r="CB574" s="40"/>
      <c r="CC574" s="40"/>
      <c r="CD574" s="40"/>
      <c r="CE574" s="40"/>
      <c r="CF574" s="40"/>
      <c r="CG574" s="40"/>
      <c r="CH574" s="40"/>
      <c r="CI574" s="40"/>
      <c r="CJ574" s="40"/>
      <c r="CK574" s="40"/>
      <c r="CL574" s="40"/>
      <c r="CM574" s="40"/>
      <c r="CN574" s="40"/>
      <c r="CO574" s="40"/>
      <c r="CP574" s="40"/>
      <c r="CQ574" s="40"/>
      <c r="CR574" s="40"/>
      <c r="CS574" s="40"/>
    </row>
    <row r="575" spans="1:97">
      <c r="A575" s="397"/>
      <c r="B575" s="397"/>
      <c r="C575" s="397"/>
      <c r="D575" s="397"/>
      <c r="E575" s="397"/>
      <c r="F575" s="397"/>
      <c r="G575" s="180"/>
      <c r="H575" s="46"/>
      <c r="I575" s="53"/>
      <c r="J575" s="53"/>
      <c r="K575" s="192"/>
      <c r="L575" s="192"/>
      <c r="M575" s="192"/>
      <c r="N575" s="192"/>
      <c r="O575" s="192"/>
      <c r="P575" s="192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  <c r="AH575" s="40"/>
      <c r="AI575" s="40"/>
      <c r="AJ575" s="40"/>
      <c r="AK575" s="40"/>
      <c r="AL575" s="40"/>
      <c r="AM575" s="40"/>
      <c r="AN575" s="40"/>
      <c r="AO575" s="40"/>
      <c r="AP575" s="40"/>
      <c r="AQ575" s="40"/>
      <c r="AR575" s="40"/>
      <c r="AS575" s="40"/>
      <c r="AT575" s="40"/>
      <c r="AU575" s="40"/>
      <c r="AV575" s="40"/>
      <c r="AW575" s="40"/>
      <c r="AX575" s="40"/>
      <c r="AY575" s="40"/>
      <c r="AZ575" s="40"/>
      <c r="BA575" s="40"/>
      <c r="BB575" s="40"/>
      <c r="BC575" s="40"/>
      <c r="BD575" s="40"/>
      <c r="BE575" s="40"/>
      <c r="BF575" s="40"/>
      <c r="BG575" s="40"/>
      <c r="BH575" s="40"/>
      <c r="BI575" s="40"/>
      <c r="BJ575" s="40"/>
      <c r="BK575" s="40"/>
      <c r="BL575" s="40"/>
      <c r="BM575" s="40"/>
      <c r="BN575" s="40"/>
      <c r="BO575" s="40"/>
      <c r="BP575" s="40"/>
      <c r="BQ575" s="40"/>
      <c r="BR575" s="40"/>
      <c r="BS575" s="40"/>
      <c r="BT575" s="40"/>
      <c r="BU575" s="40"/>
      <c r="BV575" s="40"/>
      <c r="BW575" s="40"/>
      <c r="BX575" s="40"/>
      <c r="BY575" s="40"/>
      <c r="BZ575" s="40"/>
      <c r="CA575" s="40"/>
      <c r="CB575" s="40"/>
      <c r="CC575" s="40"/>
      <c r="CD575" s="40"/>
      <c r="CE575" s="40"/>
      <c r="CF575" s="40"/>
      <c r="CG575" s="40"/>
      <c r="CH575" s="40"/>
      <c r="CI575" s="40"/>
      <c r="CJ575" s="40"/>
      <c r="CK575" s="40"/>
      <c r="CL575" s="40"/>
      <c r="CM575" s="40"/>
      <c r="CN575" s="40"/>
      <c r="CO575" s="40"/>
      <c r="CP575" s="40"/>
      <c r="CQ575" s="40"/>
      <c r="CR575" s="40"/>
      <c r="CS575" s="40"/>
    </row>
    <row r="576" spans="1:97">
      <c r="A576" s="397"/>
      <c r="B576" s="397"/>
      <c r="C576" s="397"/>
      <c r="D576" s="397"/>
      <c r="E576" s="397"/>
      <c r="F576" s="397"/>
      <c r="G576" s="180"/>
      <c r="H576" s="46"/>
      <c r="I576" s="53"/>
      <c r="J576" s="53"/>
      <c r="K576" s="192"/>
      <c r="L576" s="192"/>
      <c r="M576" s="192"/>
      <c r="N576" s="192"/>
      <c r="O576" s="192"/>
      <c r="P576" s="192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  <c r="AH576" s="40"/>
      <c r="AI576" s="40"/>
      <c r="AJ576" s="40"/>
      <c r="AK576" s="40"/>
      <c r="AL576" s="40"/>
      <c r="AM576" s="40"/>
      <c r="AN576" s="40"/>
      <c r="AO576" s="40"/>
      <c r="AP576" s="40"/>
      <c r="AQ576" s="40"/>
      <c r="AR576" s="40"/>
      <c r="AS576" s="40"/>
      <c r="AT576" s="40"/>
      <c r="AU576" s="40"/>
      <c r="AV576" s="40"/>
      <c r="AW576" s="40"/>
      <c r="AX576" s="40"/>
      <c r="AY576" s="40"/>
      <c r="AZ576" s="40"/>
      <c r="BA576" s="40"/>
      <c r="BB576" s="40"/>
      <c r="BC576" s="40"/>
      <c r="BD576" s="40"/>
      <c r="BE576" s="40"/>
      <c r="BF576" s="40"/>
      <c r="BG576" s="40"/>
      <c r="BH576" s="40"/>
      <c r="BI576" s="40"/>
      <c r="BJ576" s="40"/>
      <c r="BK576" s="40"/>
      <c r="BL576" s="40"/>
      <c r="BM576" s="40"/>
      <c r="BN576" s="40"/>
      <c r="BO576" s="40"/>
      <c r="BP576" s="40"/>
      <c r="BQ576" s="40"/>
      <c r="BR576" s="40"/>
      <c r="BS576" s="40"/>
      <c r="BT576" s="40"/>
      <c r="BU576" s="40"/>
      <c r="BV576" s="40"/>
      <c r="BW576" s="40"/>
      <c r="BX576" s="40"/>
      <c r="BY576" s="40"/>
      <c r="BZ576" s="40"/>
      <c r="CA576" s="40"/>
      <c r="CB576" s="40"/>
      <c r="CC576" s="40"/>
      <c r="CD576" s="40"/>
      <c r="CE576" s="40"/>
      <c r="CF576" s="40"/>
      <c r="CG576" s="40"/>
      <c r="CH576" s="40"/>
      <c r="CI576" s="40"/>
      <c r="CJ576" s="40"/>
      <c r="CK576" s="40"/>
      <c r="CL576" s="40"/>
      <c r="CM576" s="40"/>
      <c r="CN576" s="40"/>
      <c r="CO576" s="40"/>
      <c r="CP576" s="40"/>
      <c r="CQ576" s="40"/>
      <c r="CR576" s="40"/>
      <c r="CS576" s="40"/>
    </row>
    <row r="577" spans="1:97">
      <c r="A577" s="397"/>
      <c r="B577" s="397"/>
      <c r="C577" s="397"/>
      <c r="D577" s="397"/>
      <c r="E577" s="397"/>
      <c r="F577" s="397"/>
      <c r="G577" s="180"/>
      <c r="H577" s="46"/>
      <c r="I577" s="53"/>
      <c r="J577" s="53"/>
      <c r="K577" s="192"/>
      <c r="L577" s="192"/>
      <c r="M577" s="192"/>
      <c r="N577" s="192"/>
      <c r="O577" s="192"/>
      <c r="P577" s="192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  <c r="AH577" s="40"/>
      <c r="AI577" s="40"/>
      <c r="AJ577" s="40"/>
      <c r="AK577" s="40"/>
      <c r="AL577" s="40"/>
      <c r="AM577" s="40"/>
      <c r="AN577" s="40"/>
      <c r="AO577" s="40"/>
      <c r="AP577" s="40"/>
      <c r="AQ577" s="40"/>
      <c r="AR577" s="40"/>
      <c r="AS577" s="40"/>
      <c r="AT577" s="40"/>
      <c r="AU577" s="40"/>
      <c r="AV577" s="40"/>
      <c r="AW577" s="40"/>
      <c r="AX577" s="40"/>
      <c r="AY577" s="40"/>
      <c r="AZ577" s="40"/>
      <c r="BA577" s="40"/>
      <c r="BB577" s="40"/>
      <c r="BC577" s="40"/>
      <c r="BD577" s="40"/>
      <c r="BE577" s="40"/>
      <c r="BF577" s="40"/>
      <c r="BG577" s="40"/>
      <c r="BH577" s="40"/>
      <c r="BI577" s="40"/>
      <c r="BJ577" s="40"/>
      <c r="BK577" s="40"/>
      <c r="BL577" s="40"/>
      <c r="BM577" s="40"/>
      <c r="BN577" s="40"/>
      <c r="BO577" s="40"/>
      <c r="BP577" s="40"/>
      <c r="BQ577" s="40"/>
      <c r="BR577" s="40"/>
      <c r="BS577" s="40"/>
      <c r="BT577" s="40"/>
      <c r="BU577" s="40"/>
      <c r="BV577" s="40"/>
      <c r="BW577" s="40"/>
      <c r="BX577" s="40"/>
      <c r="BY577" s="40"/>
      <c r="BZ577" s="40"/>
      <c r="CA577" s="40"/>
      <c r="CB577" s="40"/>
      <c r="CC577" s="40"/>
      <c r="CD577" s="40"/>
      <c r="CE577" s="40"/>
      <c r="CF577" s="40"/>
      <c r="CG577" s="40"/>
      <c r="CH577" s="40"/>
      <c r="CI577" s="40"/>
      <c r="CJ577" s="40"/>
      <c r="CK577" s="40"/>
      <c r="CL577" s="40"/>
      <c r="CM577" s="40"/>
      <c r="CN577" s="40"/>
      <c r="CO577" s="40"/>
      <c r="CP577" s="40"/>
      <c r="CQ577" s="40"/>
      <c r="CR577" s="40"/>
      <c r="CS577" s="40"/>
    </row>
    <row r="578" spans="1:97">
      <c r="A578" s="397"/>
      <c r="B578" s="397"/>
      <c r="C578" s="397"/>
      <c r="D578" s="397"/>
      <c r="E578" s="397"/>
      <c r="F578" s="397"/>
      <c r="G578" s="180"/>
      <c r="H578" s="46"/>
      <c r="I578" s="53"/>
      <c r="J578" s="53"/>
      <c r="K578" s="192"/>
      <c r="L578" s="192"/>
      <c r="M578" s="192"/>
      <c r="N578" s="192"/>
      <c r="O578" s="192"/>
      <c r="P578" s="192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  <c r="AJ578" s="40"/>
      <c r="AK578" s="40"/>
      <c r="AL578" s="40"/>
      <c r="AM578" s="40"/>
      <c r="AN578" s="40"/>
      <c r="AO578" s="40"/>
      <c r="AP578" s="40"/>
      <c r="AQ578" s="40"/>
      <c r="AR578" s="40"/>
      <c r="AS578" s="40"/>
      <c r="AT578" s="40"/>
      <c r="AU578" s="40"/>
      <c r="AV578" s="40"/>
      <c r="AW578" s="40"/>
      <c r="AX578" s="40"/>
      <c r="AY578" s="40"/>
      <c r="AZ578" s="40"/>
      <c r="BA578" s="40"/>
      <c r="BB578" s="40"/>
      <c r="BC578" s="40"/>
      <c r="BD578" s="40"/>
      <c r="BE578" s="40"/>
      <c r="BF578" s="40"/>
      <c r="BG578" s="40"/>
      <c r="BH578" s="40"/>
      <c r="BI578" s="40"/>
      <c r="BJ578" s="40"/>
      <c r="BK578" s="40"/>
      <c r="BL578" s="40"/>
      <c r="BM578" s="40"/>
      <c r="BN578" s="40"/>
      <c r="BO578" s="40"/>
      <c r="BP578" s="40"/>
      <c r="BQ578" s="40"/>
      <c r="BR578" s="40"/>
      <c r="BS578" s="40"/>
      <c r="BT578" s="40"/>
      <c r="BU578" s="40"/>
      <c r="BV578" s="40"/>
      <c r="BW578" s="40"/>
      <c r="BX578" s="40"/>
      <c r="BY578" s="40"/>
      <c r="BZ578" s="40"/>
      <c r="CA578" s="40"/>
      <c r="CB578" s="40"/>
      <c r="CC578" s="40"/>
      <c r="CD578" s="40"/>
      <c r="CE578" s="40"/>
      <c r="CF578" s="40"/>
      <c r="CG578" s="40"/>
      <c r="CH578" s="40"/>
      <c r="CI578" s="40"/>
      <c r="CJ578" s="40"/>
      <c r="CK578" s="40"/>
      <c r="CL578" s="40"/>
      <c r="CM578" s="40"/>
      <c r="CN578" s="40"/>
      <c r="CO578" s="40"/>
      <c r="CP578" s="40"/>
      <c r="CQ578" s="40"/>
      <c r="CR578" s="40"/>
      <c r="CS578" s="40"/>
    </row>
    <row r="579" spans="1:97">
      <c r="A579" s="397"/>
      <c r="B579" s="397"/>
      <c r="C579" s="397"/>
      <c r="D579" s="397"/>
      <c r="E579" s="397"/>
      <c r="F579" s="397"/>
      <c r="G579" s="180"/>
      <c r="H579" s="46"/>
      <c r="I579" s="53"/>
      <c r="J579" s="53"/>
      <c r="K579" s="192"/>
      <c r="L579" s="192"/>
      <c r="M579" s="192"/>
      <c r="N579" s="192"/>
      <c r="O579" s="192"/>
      <c r="P579" s="192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  <c r="AH579" s="40"/>
      <c r="AI579" s="40"/>
      <c r="AJ579" s="40"/>
      <c r="AK579" s="40"/>
      <c r="AL579" s="40"/>
      <c r="AM579" s="40"/>
      <c r="AN579" s="40"/>
      <c r="AO579" s="40"/>
      <c r="AP579" s="40"/>
      <c r="AQ579" s="40"/>
      <c r="AR579" s="40"/>
      <c r="AS579" s="40"/>
      <c r="AT579" s="40"/>
      <c r="AU579" s="40"/>
      <c r="AV579" s="40"/>
      <c r="AW579" s="40"/>
      <c r="AX579" s="40"/>
      <c r="AY579" s="40"/>
      <c r="AZ579" s="40"/>
      <c r="BA579" s="40"/>
      <c r="BB579" s="40"/>
      <c r="BC579" s="40"/>
      <c r="BD579" s="40"/>
      <c r="BE579" s="40"/>
      <c r="BF579" s="40"/>
      <c r="BG579" s="40"/>
      <c r="BH579" s="40"/>
      <c r="BI579" s="40"/>
      <c r="BJ579" s="40"/>
      <c r="BK579" s="40"/>
      <c r="BL579" s="40"/>
      <c r="BM579" s="40"/>
      <c r="BN579" s="40"/>
      <c r="BO579" s="40"/>
      <c r="BP579" s="40"/>
      <c r="BQ579" s="40"/>
      <c r="BR579" s="40"/>
      <c r="BS579" s="40"/>
      <c r="BT579" s="40"/>
      <c r="BU579" s="40"/>
      <c r="BV579" s="40"/>
      <c r="BW579" s="40"/>
      <c r="BX579" s="40"/>
      <c r="BY579" s="40"/>
      <c r="BZ579" s="40"/>
      <c r="CA579" s="40"/>
      <c r="CB579" s="40"/>
      <c r="CC579" s="40"/>
      <c r="CD579" s="40"/>
      <c r="CE579" s="40"/>
      <c r="CF579" s="40"/>
      <c r="CG579" s="40"/>
      <c r="CH579" s="40"/>
      <c r="CI579" s="40"/>
      <c r="CJ579" s="40"/>
      <c r="CK579" s="40"/>
      <c r="CL579" s="40"/>
      <c r="CM579" s="40"/>
      <c r="CN579" s="40"/>
      <c r="CO579" s="40"/>
      <c r="CP579" s="40"/>
      <c r="CQ579" s="40"/>
      <c r="CR579" s="40"/>
      <c r="CS579" s="40"/>
    </row>
    <row r="580" spans="1:97">
      <c r="A580" s="397"/>
      <c r="B580" s="397"/>
      <c r="C580" s="397"/>
      <c r="D580" s="397"/>
      <c r="E580" s="397"/>
      <c r="F580" s="397"/>
      <c r="G580" s="180"/>
      <c r="H580" s="46"/>
      <c r="I580" s="53"/>
      <c r="J580" s="53"/>
      <c r="K580" s="192"/>
      <c r="L580" s="192"/>
      <c r="M580" s="192"/>
      <c r="N580" s="192"/>
      <c r="O580" s="192"/>
      <c r="P580" s="192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  <c r="AJ580" s="40"/>
      <c r="AK580" s="40"/>
      <c r="AL580" s="40"/>
      <c r="AM580" s="40"/>
      <c r="AN580" s="40"/>
      <c r="AO580" s="40"/>
      <c r="AP580" s="40"/>
      <c r="AQ580" s="40"/>
      <c r="AR580" s="40"/>
      <c r="AS580" s="40"/>
      <c r="AT580" s="40"/>
      <c r="AU580" s="40"/>
      <c r="AV580" s="40"/>
      <c r="AW580" s="40"/>
      <c r="AX580" s="40"/>
      <c r="AY580" s="40"/>
      <c r="AZ580" s="40"/>
      <c r="BA580" s="40"/>
      <c r="BB580" s="40"/>
      <c r="BC580" s="40"/>
      <c r="BD580" s="40"/>
      <c r="BE580" s="40"/>
      <c r="BF580" s="40"/>
      <c r="BG580" s="40"/>
      <c r="BH580" s="40"/>
      <c r="BI580" s="40"/>
      <c r="BJ580" s="40"/>
      <c r="BK580" s="40"/>
      <c r="BL580" s="40"/>
      <c r="BM580" s="40"/>
      <c r="BN580" s="40"/>
      <c r="BO580" s="40"/>
      <c r="BP580" s="40"/>
      <c r="BQ580" s="40"/>
      <c r="BR580" s="40"/>
      <c r="BS580" s="40"/>
      <c r="BT580" s="40"/>
      <c r="BU580" s="40"/>
      <c r="BV580" s="40"/>
      <c r="BW580" s="40"/>
      <c r="BX580" s="40"/>
      <c r="BY580" s="40"/>
      <c r="BZ580" s="40"/>
      <c r="CA580" s="40"/>
      <c r="CB580" s="40"/>
      <c r="CC580" s="40"/>
      <c r="CD580" s="40"/>
      <c r="CE580" s="40"/>
      <c r="CF580" s="40"/>
      <c r="CG580" s="40"/>
      <c r="CH580" s="40"/>
      <c r="CI580" s="40"/>
      <c r="CJ580" s="40"/>
      <c r="CK580" s="40"/>
      <c r="CL580" s="40"/>
      <c r="CM580" s="40"/>
      <c r="CN580" s="40"/>
      <c r="CO580" s="40"/>
      <c r="CP580" s="40"/>
      <c r="CQ580" s="40"/>
      <c r="CR580" s="40"/>
      <c r="CS580" s="40"/>
    </row>
    <row r="581" spans="1:97">
      <c r="A581" s="397"/>
      <c r="B581" s="397"/>
      <c r="C581" s="397"/>
      <c r="D581" s="397"/>
      <c r="E581" s="397"/>
      <c r="F581" s="397"/>
      <c r="G581" s="180"/>
      <c r="H581" s="46"/>
      <c r="I581" s="53"/>
      <c r="J581" s="53"/>
      <c r="K581" s="192"/>
      <c r="L581" s="192"/>
      <c r="M581" s="192"/>
      <c r="N581" s="192"/>
      <c r="O581" s="192"/>
      <c r="P581" s="192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  <c r="AK581" s="40"/>
      <c r="AL581" s="40"/>
      <c r="AM581" s="40"/>
      <c r="AN581" s="40"/>
      <c r="AO581" s="40"/>
      <c r="AP581" s="40"/>
      <c r="AQ581" s="40"/>
      <c r="AR581" s="40"/>
      <c r="AS581" s="40"/>
      <c r="AT581" s="40"/>
      <c r="AU581" s="40"/>
      <c r="AV581" s="40"/>
      <c r="AW581" s="40"/>
      <c r="AX581" s="40"/>
      <c r="AY581" s="40"/>
      <c r="AZ581" s="40"/>
      <c r="BA581" s="40"/>
      <c r="BB581" s="40"/>
      <c r="BC581" s="40"/>
      <c r="BD581" s="40"/>
      <c r="BE581" s="40"/>
      <c r="BF581" s="40"/>
      <c r="BG581" s="40"/>
      <c r="BH581" s="40"/>
      <c r="BI581" s="40"/>
      <c r="BJ581" s="40"/>
      <c r="BK581" s="40"/>
      <c r="BL581" s="40"/>
      <c r="BM581" s="40"/>
      <c r="BN581" s="40"/>
      <c r="BO581" s="40"/>
      <c r="BP581" s="40"/>
      <c r="BQ581" s="40"/>
      <c r="BR581" s="40"/>
      <c r="BS581" s="40"/>
      <c r="BT581" s="40"/>
      <c r="BU581" s="40"/>
      <c r="BV581" s="40"/>
      <c r="BW581" s="40"/>
      <c r="BX581" s="40"/>
      <c r="BY581" s="40"/>
      <c r="BZ581" s="40"/>
      <c r="CA581" s="40"/>
      <c r="CB581" s="40"/>
      <c r="CC581" s="40"/>
      <c r="CD581" s="40"/>
      <c r="CE581" s="40"/>
      <c r="CF581" s="40"/>
      <c r="CG581" s="40"/>
      <c r="CH581" s="40"/>
      <c r="CI581" s="40"/>
      <c r="CJ581" s="40"/>
      <c r="CK581" s="40"/>
      <c r="CL581" s="40"/>
      <c r="CM581" s="40"/>
      <c r="CN581" s="40"/>
      <c r="CO581" s="40"/>
      <c r="CP581" s="40"/>
      <c r="CQ581" s="40"/>
      <c r="CR581" s="40"/>
      <c r="CS581" s="40"/>
    </row>
    <row r="582" spans="1:97">
      <c r="A582" s="397"/>
      <c r="B582" s="397"/>
      <c r="C582" s="397"/>
      <c r="D582" s="397"/>
      <c r="E582" s="397"/>
      <c r="F582" s="397"/>
      <c r="G582" s="180"/>
      <c r="H582" s="46"/>
      <c r="I582" s="53"/>
      <c r="J582" s="53"/>
      <c r="K582" s="192"/>
      <c r="L582" s="192"/>
      <c r="M582" s="192"/>
      <c r="N582" s="192"/>
      <c r="O582" s="192"/>
      <c r="P582" s="192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/>
      <c r="AJ582" s="40"/>
      <c r="AK582" s="40"/>
      <c r="AL582" s="40"/>
      <c r="AM582" s="40"/>
      <c r="AN582" s="40"/>
      <c r="AO582" s="40"/>
      <c r="AP582" s="40"/>
      <c r="AQ582" s="40"/>
      <c r="AR582" s="40"/>
      <c r="AS582" s="40"/>
      <c r="AT582" s="40"/>
      <c r="AU582" s="40"/>
      <c r="AV582" s="40"/>
      <c r="AW582" s="40"/>
      <c r="AX582" s="40"/>
      <c r="AY582" s="40"/>
      <c r="AZ582" s="40"/>
      <c r="BA582" s="40"/>
      <c r="BB582" s="40"/>
      <c r="BC582" s="40"/>
      <c r="BD582" s="40"/>
      <c r="BE582" s="40"/>
      <c r="BF582" s="40"/>
      <c r="BG582" s="40"/>
      <c r="BH582" s="40"/>
      <c r="BI582" s="40"/>
      <c r="BJ582" s="40"/>
      <c r="BK582" s="40"/>
      <c r="BL582" s="40"/>
      <c r="BM582" s="40"/>
      <c r="BN582" s="40"/>
      <c r="BO582" s="40"/>
      <c r="BP582" s="40"/>
      <c r="BQ582" s="40"/>
      <c r="BR582" s="40"/>
      <c r="BS582" s="40"/>
      <c r="BT582" s="40"/>
      <c r="BU582" s="40"/>
      <c r="BV582" s="40"/>
      <c r="BW582" s="40"/>
      <c r="BX582" s="40"/>
      <c r="BY582" s="40"/>
      <c r="BZ582" s="40"/>
      <c r="CA582" s="40"/>
      <c r="CB582" s="40"/>
      <c r="CC582" s="40"/>
      <c r="CD582" s="40"/>
      <c r="CE582" s="40"/>
      <c r="CF582" s="40"/>
      <c r="CG582" s="40"/>
      <c r="CH582" s="40"/>
      <c r="CI582" s="40"/>
      <c r="CJ582" s="40"/>
      <c r="CK582" s="40"/>
      <c r="CL582" s="40"/>
      <c r="CM582" s="40"/>
      <c r="CN582" s="40"/>
      <c r="CO582" s="40"/>
      <c r="CP582" s="40"/>
      <c r="CQ582" s="40"/>
      <c r="CR582" s="40"/>
      <c r="CS582" s="40"/>
    </row>
    <row r="583" spans="1:97">
      <c r="A583" s="397"/>
      <c r="B583" s="397"/>
      <c r="C583" s="397"/>
      <c r="D583" s="397"/>
      <c r="E583" s="397"/>
      <c r="F583" s="397"/>
      <c r="G583" s="180"/>
      <c r="H583" s="46"/>
      <c r="I583" s="53"/>
      <c r="J583" s="53"/>
      <c r="K583" s="192"/>
      <c r="L583" s="192"/>
      <c r="M583" s="192"/>
      <c r="N583" s="192"/>
      <c r="O583" s="192"/>
      <c r="P583" s="192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  <c r="AJ583" s="40"/>
      <c r="AK583" s="40"/>
      <c r="AL583" s="40"/>
      <c r="AM583" s="40"/>
      <c r="AN583" s="40"/>
      <c r="AO583" s="40"/>
      <c r="AP583" s="40"/>
      <c r="AQ583" s="40"/>
      <c r="AR583" s="40"/>
      <c r="AS583" s="40"/>
      <c r="AT583" s="40"/>
      <c r="AU583" s="40"/>
      <c r="AV583" s="40"/>
      <c r="AW583" s="40"/>
      <c r="AX583" s="40"/>
      <c r="AY583" s="40"/>
      <c r="AZ583" s="40"/>
      <c r="BA583" s="40"/>
      <c r="BB583" s="40"/>
      <c r="BC583" s="40"/>
      <c r="BD583" s="40"/>
      <c r="BE583" s="40"/>
      <c r="BF583" s="40"/>
      <c r="BG583" s="40"/>
      <c r="BH583" s="40"/>
      <c r="BI583" s="40"/>
      <c r="BJ583" s="40"/>
      <c r="BK583" s="40"/>
      <c r="BL583" s="40"/>
      <c r="BM583" s="40"/>
      <c r="BN583" s="40"/>
      <c r="BO583" s="40"/>
      <c r="BP583" s="40"/>
      <c r="BQ583" s="40"/>
      <c r="BR583" s="40"/>
      <c r="BS583" s="40"/>
      <c r="BT583" s="40"/>
      <c r="BU583" s="40"/>
      <c r="BV583" s="40"/>
      <c r="BW583" s="40"/>
      <c r="BX583" s="40"/>
      <c r="BY583" s="40"/>
      <c r="BZ583" s="40"/>
      <c r="CA583" s="40"/>
      <c r="CB583" s="40"/>
      <c r="CC583" s="40"/>
      <c r="CD583" s="40"/>
      <c r="CE583" s="40"/>
      <c r="CF583" s="40"/>
      <c r="CG583" s="40"/>
      <c r="CH583" s="40"/>
      <c r="CI583" s="40"/>
      <c r="CJ583" s="40"/>
      <c r="CK583" s="40"/>
      <c r="CL583" s="40"/>
      <c r="CM583" s="40"/>
      <c r="CN583" s="40"/>
      <c r="CO583" s="40"/>
      <c r="CP583" s="40"/>
      <c r="CQ583" s="40"/>
      <c r="CR583" s="40"/>
      <c r="CS583" s="40"/>
    </row>
    <row r="584" spans="1:97">
      <c r="A584" s="397"/>
      <c r="B584" s="397"/>
      <c r="C584" s="397"/>
      <c r="D584" s="397"/>
      <c r="E584" s="397"/>
      <c r="F584" s="397"/>
      <c r="G584" s="180"/>
      <c r="H584" s="46"/>
      <c r="I584" s="53"/>
      <c r="J584" s="53"/>
      <c r="K584" s="192"/>
      <c r="L584" s="192"/>
      <c r="M584" s="192"/>
      <c r="N584" s="192"/>
      <c r="O584" s="192"/>
      <c r="P584" s="192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  <c r="AJ584" s="40"/>
      <c r="AK584" s="40"/>
      <c r="AL584" s="40"/>
      <c r="AM584" s="40"/>
      <c r="AN584" s="40"/>
      <c r="AO584" s="40"/>
      <c r="AP584" s="40"/>
      <c r="AQ584" s="40"/>
      <c r="AR584" s="40"/>
      <c r="AS584" s="40"/>
      <c r="AT584" s="40"/>
      <c r="AU584" s="40"/>
      <c r="AV584" s="40"/>
      <c r="AW584" s="40"/>
      <c r="AX584" s="40"/>
      <c r="AY584" s="40"/>
      <c r="AZ584" s="40"/>
      <c r="BA584" s="40"/>
      <c r="BB584" s="40"/>
      <c r="BC584" s="40"/>
      <c r="BD584" s="40"/>
      <c r="BE584" s="40"/>
      <c r="BF584" s="40"/>
      <c r="BG584" s="40"/>
      <c r="BH584" s="40"/>
      <c r="BI584" s="40"/>
      <c r="BJ584" s="40"/>
      <c r="BK584" s="40"/>
      <c r="BL584" s="40"/>
      <c r="BM584" s="40"/>
      <c r="BN584" s="40"/>
      <c r="BO584" s="40"/>
      <c r="BP584" s="40"/>
      <c r="BQ584" s="40"/>
      <c r="BR584" s="40"/>
      <c r="BS584" s="40"/>
      <c r="BT584" s="40"/>
      <c r="BU584" s="40"/>
      <c r="BV584" s="40"/>
      <c r="BW584" s="40"/>
      <c r="BX584" s="40"/>
      <c r="BY584" s="40"/>
      <c r="BZ584" s="40"/>
      <c r="CA584" s="40"/>
      <c r="CB584" s="40"/>
      <c r="CC584" s="40"/>
      <c r="CD584" s="40"/>
      <c r="CE584" s="40"/>
      <c r="CF584" s="40"/>
      <c r="CG584" s="40"/>
      <c r="CH584" s="40"/>
      <c r="CI584" s="40"/>
      <c r="CJ584" s="40"/>
      <c r="CK584" s="40"/>
      <c r="CL584" s="40"/>
      <c r="CM584" s="40"/>
      <c r="CN584" s="40"/>
      <c r="CO584" s="40"/>
      <c r="CP584" s="40"/>
      <c r="CQ584" s="40"/>
      <c r="CR584" s="40"/>
      <c r="CS584" s="40"/>
    </row>
    <row r="585" spans="1:97">
      <c r="A585" s="397"/>
      <c r="B585" s="397"/>
      <c r="C585" s="397"/>
      <c r="D585" s="397"/>
      <c r="E585" s="397"/>
      <c r="F585" s="397"/>
      <c r="G585" s="180"/>
      <c r="H585" s="46"/>
      <c r="I585" s="53"/>
      <c r="J585" s="53"/>
      <c r="K585" s="192"/>
      <c r="L585" s="192"/>
      <c r="M585" s="192"/>
      <c r="N585" s="192"/>
      <c r="O585" s="192"/>
      <c r="P585" s="192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  <c r="AH585" s="40"/>
      <c r="AI585" s="40"/>
      <c r="AJ585" s="40"/>
      <c r="AK585" s="40"/>
      <c r="AL585" s="40"/>
      <c r="AM585" s="40"/>
      <c r="AN585" s="40"/>
      <c r="AO585" s="40"/>
      <c r="AP585" s="40"/>
      <c r="AQ585" s="40"/>
      <c r="AR585" s="40"/>
      <c r="AS585" s="40"/>
      <c r="AT585" s="40"/>
      <c r="AU585" s="40"/>
      <c r="AV585" s="40"/>
      <c r="AW585" s="40"/>
      <c r="AX585" s="40"/>
      <c r="AY585" s="40"/>
      <c r="AZ585" s="40"/>
      <c r="BA585" s="40"/>
      <c r="BB585" s="40"/>
      <c r="BC585" s="40"/>
      <c r="BD585" s="40"/>
      <c r="BE585" s="40"/>
      <c r="BF585" s="40"/>
      <c r="BG585" s="40"/>
      <c r="BH585" s="40"/>
      <c r="BI585" s="40"/>
      <c r="BJ585" s="40"/>
      <c r="BK585" s="40"/>
      <c r="BL585" s="40"/>
      <c r="BM585" s="40"/>
      <c r="BN585" s="40"/>
      <c r="BO585" s="40"/>
      <c r="BP585" s="40"/>
      <c r="BQ585" s="40"/>
      <c r="BR585" s="40"/>
      <c r="BS585" s="40"/>
      <c r="BT585" s="40"/>
      <c r="BU585" s="40"/>
      <c r="BV585" s="40"/>
      <c r="BW585" s="40"/>
      <c r="BX585" s="40"/>
      <c r="BY585" s="40"/>
      <c r="BZ585" s="40"/>
      <c r="CA585" s="40"/>
      <c r="CB585" s="40"/>
      <c r="CC585" s="40"/>
      <c r="CD585" s="40"/>
      <c r="CE585" s="40"/>
      <c r="CF585" s="40"/>
      <c r="CG585" s="40"/>
      <c r="CH585" s="40"/>
      <c r="CI585" s="40"/>
      <c r="CJ585" s="40"/>
      <c r="CK585" s="40"/>
      <c r="CL585" s="40"/>
      <c r="CM585" s="40"/>
      <c r="CN585" s="40"/>
      <c r="CO585" s="40"/>
      <c r="CP585" s="40"/>
      <c r="CQ585" s="40"/>
      <c r="CR585" s="40"/>
      <c r="CS585" s="40"/>
    </row>
    <row r="586" spans="1:97">
      <c r="A586" s="397"/>
      <c r="B586" s="397"/>
      <c r="C586" s="397"/>
      <c r="D586" s="397"/>
      <c r="E586" s="397"/>
      <c r="F586" s="397"/>
      <c r="G586" s="180"/>
      <c r="H586" s="46"/>
      <c r="I586" s="53"/>
      <c r="J586" s="53"/>
      <c r="K586" s="192"/>
      <c r="L586" s="192"/>
      <c r="M586" s="192"/>
      <c r="N586" s="192"/>
      <c r="O586" s="192"/>
      <c r="P586" s="192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  <c r="AJ586" s="40"/>
      <c r="AK586" s="40"/>
      <c r="AL586" s="40"/>
      <c r="AM586" s="40"/>
      <c r="AN586" s="40"/>
      <c r="AO586" s="40"/>
      <c r="AP586" s="40"/>
      <c r="AQ586" s="40"/>
      <c r="AR586" s="40"/>
      <c r="AS586" s="40"/>
      <c r="AT586" s="40"/>
      <c r="AU586" s="40"/>
      <c r="AV586" s="40"/>
      <c r="AW586" s="40"/>
      <c r="AX586" s="40"/>
      <c r="AY586" s="40"/>
      <c r="AZ586" s="40"/>
      <c r="BA586" s="40"/>
      <c r="BB586" s="40"/>
      <c r="BC586" s="40"/>
      <c r="BD586" s="40"/>
      <c r="BE586" s="40"/>
      <c r="BF586" s="40"/>
      <c r="BG586" s="40"/>
      <c r="BH586" s="40"/>
      <c r="BI586" s="40"/>
      <c r="BJ586" s="40"/>
      <c r="BK586" s="40"/>
      <c r="BL586" s="40"/>
      <c r="BM586" s="40"/>
      <c r="BN586" s="40"/>
      <c r="BO586" s="40"/>
      <c r="BP586" s="40"/>
      <c r="BQ586" s="40"/>
      <c r="BR586" s="40"/>
      <c r="BS586" s="40"/>
      <c r="BT586" s="40"/>
      <c r="BU586" s="40"/>
      <c r="BV586" s="40"/>
      <c r="BW586" s="40"/>
      <c r="BX586" s="40"/>
      <c r="BY586" s="40"/>
      <c r="BZ586" s="40"/>
      <c r="CA586" s="40"/>
      <c r="CB586" s="40"/>
      <c r="CC586" s="40"/>
      <c r="CD586" s="40"/>
      <c r="CE586" s="40"/>
      <c r="CF586" s="40"/>
      <c r="CG586" s="40"/>
      <c r="CH586" s="40"/>
      <c r="CI586" s="40"/>
      <c r="CJ586" s="40"/>
      <c r="CK586" s="40"/>
      <c r="CL586" s="40"/>
      <c r="CM586" s="40"/>
      <c r="CN586" s="40"/>
      <c r="CO586" s="40"/>
      <c r="CP586" s="40"/>
      <c r="CQ586" s="40"/>
      <c r="CR586" s="40"/>
      <c r="CS586" s="40"/>
    </row>
    <row r="587" spans="1:97">
      <c r="A587" s="397"/>
      <c r="B587" s="397"/>
      <c r="C587" s="397"/>
      <c r="D587" s="397"/>
      <c r="E587" s="397"/>
      <c r="F587" s="397"/>
      <c r="G587" s="180"/>
      <c r="H587" s="46"/>
      <c r="I587" s="53"/>
      <c r="J587" s="53"/>
      <c r="K587" s="192"/>
      <c r="L587" s="192"/>
      <c r="M587" s="192"/>
      <c r="N587" s="192"/>
      <c r="O587" s="192"/>
      <c r="P587" s="192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  <c r="AH587" s="40"/>
      <c r="AI587" s="40"/>
      <c r="AJ587" s="40"/>
      <c r="AK587" s="40"/>
      <c r="AL587" s="40"/>
      <c r="AM587" s="40"/>
      <c r="AN587" s="40"/>
      <c r="AO587" s="40"/>
      <c r="AP587" s="40"/>
      <c r="AQ587" s="40"/>
      <c r="AR587" s="40"/>
      <c r="AS587" s="40"/>
      <c r="AT587" s="40"/>
      <c r="AU587" s="40"/>
      <c r="AV587" s="40"/>
      <c r="AW587" s="40"/>
      <c r="AX587" s="40"/>
      <c r="AY587" s="40"/>
      <c r="AZ587" s="40"/>
      <c r="BA587" s="40"/>
      <c r="BB587" s="40"/>
      <c r="BC587" s="40"/>
      <c r="BD587" s="40"/>
      <c r="BE587" s="40"/>
      <c r="BF587" s="40"/>
      <c r="BG587" s="40"/>
      <c r="BH587" s="40"/>
      <c r="BI587" s="40"/>
      <c r="BJ587" s="40"/>
      <c r="BK587" s="40"/>
      <c r="BL587" s="40"/>
      <c r="BM587" s="40"/>
      <c r="BN587" s="40"/>
      <c r="BO587" s="40"/>
      <c r="BP587" s="40"/>
      <c r="BQ587" s="40"/>
      <c r="BR587" s="40"/>
      <c r="BS587" s="40"/>
      <c r="BT587" s="40"/>
      <c r="BU587" s="40"/>
      <c r="BV587" s="40"/>
      <c r="BW587" s="40"/>
      <c r="BX587" s="40"/>
      <c r="BY587" s="40"/>
      <c r="BZ587" s="40"/>
      <c r="CA587" s="40"/>
      <c r="CB587" s="40"/>
      <c r="CC587" s="40"/>
      <c r="CD587" s="40"/>
      <c r="CE587" s="40"/>
      <c r="CF587" s="40"/>
      <c r="CG587" s="40"/>
      <c r="CH587" s="40"/>
      <c r="CI587" s="40"/>
      <c r="CJ587" s="40"/>
      <c r="CK587" s="40"/>
      <c r="CL587" s="40"/>
      <c r="CM587" s="40"/>
      <c r="CN587" s="40"/>
      <c r="CO587" s="40"/>
      <c r="CP587" s="40"/>
      <c r="CQ587" s="40"/>
      <c r="CR587" s="40"/>
      <c r="CS587" s="40"/>
    </row>
  </sheetData>
  <autoFilter ref="A2:CS273" xr:uid="{00000000-0009-0000-0000-000003000000}"/>
  <mergeCells count="10">
    <mergeCell ref="G1:G2"/>
    <mergeCell ref="I1:I2"/>
    <mergeCell ref="H1:H2"/>
    <mergeCell ref="J1:J2"/>
    <mergeCell ref="K1:K2"/>
    <mergeCell ref="O1:O2"/>
    <mergeCell ref="P1:P2"/>
    <mergeCell ref="L1:L2"/>
    <mergeCell ref="M1:M2"/>
    <mergeCell ref="N1:N2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r:id="rId1"/>
  <headerFooter>
    <oddHeader>&amp;LASUFC Conto Economico Preventivo 2025 - Gestione Sanità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80"/>
  <sheetViews>
    <sheetView showGridLines="0" topLeftCell="A55" zoomScaleNormal="100" workbookViewId="0">
      <selection sqref="A1:L167"/>
    </sheetView>
  </sheetViews>
  <sheetFormatPr defaultColWidth="9.140625" defaultRowHeight="12.75"/>
  <cols>
    <col min="1" max="2" width="3.42578125" style="573" customWidth="1"/>
    <col min="3" max="4" width="2.5703125" style="573" customWidth="1"/>
    <col min="5" max="5" width="3.42578125" style="573" customWidth="1"/>
    <col min="6" max="6" width="40.5703125" style="420" customWidth="1"/>
    <col min="7" max="7" width="13.140625" style="458" bestFit="1" customWidth="1"/>
    <col min="8" max="8" width="12.85546875" style="458" bestFit="1" customWidth="1"/>
    <col min="9" max="9" width="13" style="569" customWidth="1"/>
    <col min="10" max="10" width="13" style="569" bestFit="1" customWidth="1"/>
    <col min="11" max="11" width="12" style="570" bestFit="1" customWidth="1"/>
    <col min="12" max="12" width="9.42578125" style="571" bestFit="1" customWidth="1"/>
    <col min="13" max="13" width="13.42578125" style="420" bestFit="1" customWidth="1"/>
    <col min="14" max="14" width="13.85546875" style="420" bestFit="1" customWidth="1"/>
    <col min="15" max="16" width="9.140625" style="420"/>
    <col min="17" max="17" width="12.5703125" style="420" bestFit="1" customWidth="1"/>
    <col min="18" max="18" width="9.140625" style="420"/>
    <col min="19" max="19" width="10.85546875" style="420" bestFit="1" customWidth="1"/>
    <col min="20" max="16384" width="9.140625" style="420"/>
  </cols>
  <sheetData>
    <row r="1" spans="1:20" ht="32.25" customHeight="1" thickBot="1">
      <c r="A1" s="1032" t="s">
        <v>3523</v>
      </c>
      <c r="B1" s="1033"/>
      <c r="C1" s="1033"/>
      <c r="D1" s="1033"/>
      <c r="E1" s="1033"/>
      <c r="F1" s="1033"/>
      <c r="G1" s="1033"/>
      <c r="H1" s="1033"/>
      <c r="I1" s="1033"/>
      <c r="J1" s="1033"/>
      <c r="K1" s="1014" t="s">
        <v>3524</v>
      </c>
      <c r="L1" s="1015"/>
    </row>
    <row r="2" spans="1:20" ht="7.5" customHeight="1" thickBot="1">
      <c r="A2" s="421"/>
      <c r="B2" s="421"/>
      <c r="C2" s="421"/>
      <c r="D2" s="421"/>
      <c r="E2" s="421"/>
      <c r="F2" s="422"/>
      <c r="G2" s="423"/>
      <c r="H2" s="423"/>
      <c r="I2" s="424"/>
      <c r="J2" s="425"/>
      <c r="K2" s="426"/>
      <c r="L2" s="427"/>
    </row>
    <row r="3" spans="1:20" ht="13.35" customHeight="1">
      <c r="A3" s="1034" t="s">
        <v>2104</v>
      </c>
      <c r="B3" s="1035"/>
      <c r="C3" s="1035"/>
      <c r="D3" s="1035"/>
      <c r="E3" s="1035"/>
      <c r="F3" s="1035"/>
      <c r="G3" s="1035"/>
      <c r="H3" s="1035"/>
      <c r="I3" s="1021" t="s">
        <v>4873</v>
      </c>
      <c r="J3" s="1021" t="s">
        <v>4863</v>
      </c>
      <c r="K3" s="1023" t="s">
        <v>4874</v>
      </c>
      <c r="L3" s="1024"/>
    </row>
    <row r="4" spans="1:20" ht="39.75" customHeight="1">
      <c r="A4" s="1036"/>
      <c r="B4" s="1037"/>
      <c r="C4" s="1037"/>
      <c r="D4" s="1037"/>
      <c r="E4" s="1037"/>
      <c r="F4" s="1037"/>
      <c r="G4" s="1038"/>
      <c r="H4" s="1037"/>
      <c r="I4" s="1022"/>
      <c r="J4" s="1022"/>
      <c r="K4" s="428" t="s">
        <v>1</v>
      </c>
      <c r="L4" s="429" t="s">
        <v>2</v>
      </c>
    </row>
    <row r="5" spans="1:20">
      <c r="A5" s="430"/>
      <c r="B5" s="431"/>
      <c r="C5" s="431"/>
      <c r="D5" s="431"/>
      <c r="E5" s="431"/>
      <c r="F5" s="432"/>
      <c r="G5" s="433"/>
      <c r="H5" s="434"/>
      <c r="I5" s="435"/>
      <c r="J5" s="435"/>
      <c r="K5" s="436"/>
      <c r="L5" s="437"/>
    </row>
    <row r="6" spans="1:20" s="447" customFormat="1" ht="11.25">
      <c r="A6" s="438" t="s">
        <v>3</v>
      </c>
      <c r="B6" s="439" t="s">
        <v>3525</v>
      </c>
      <c r="C6" s="440"/>
      <c r="D6" s="440"/>
      <c r="E6" s="440"/>
      <c r="F6" s="441"/>
      <c r="G6" s="442"/>
      <c r="H6" s="442"/>
      <c r="I6" s="443"/>
      <c r="J6" s="444"/>
      <c r="K6" s="445"/>
      <c r="L6" s="446"/>
    </row>
    <row r="7" spans="1:20" s="447" customFormat="1" ht="11.25">
      <c r="A7" s="448"/>
      <c r="B7" s="440" t="s">
        <v>122</v>
      </c>
      <c r="C7" s="449" t="s">
        <v>3526</v>
      </c>
      <c r="D7" s="440"/>
      <c r="E7" s="440"/>
      <c r="F7" s="441"/>
      <c r="G7" s="442"/>
      <c r="H7" s="442"/>
      <c r="I7" s="450">
        <f>SUM(I8:I12)</f>
        <v>11566</v>
      </c>
      <c r="J7" s="450">
        <f>SUM(J8:J12)</f>
        <v>24691</v>
      </c>
      <c r="K7" s="451">
        <f>+I7-J7</f>
        <v>-13125</v>
      </c>
      <c r="L7" s="186">
        <f>IF(J7=0,"-    ",K7/J7)</f>
        <v>-0.53157020776801267</v>
      </c>
      <c r="M7" s="452"/>
    </row>
    <row r="8" spans="1:20" s="458" customFormat="1" ht="11.25">
      <c r="A8" s="438"/>
      <c r="B8" s="440"/>
      <c r="C8" s="453" t="s">
        <v>85</v>
      </c>
      <c r="D8" s="193" t="s">
        <v>3527</v>
      </c>
      <c r="E8" s="440"/>
      <c r="F8" s="454"/>
      <c r="G8" s="455"/>
      <c r="H8" s="455"/>
      <c r="I8" s="456">
        <f>ROUND(+'SP Min'!D32-'SP Min'!D54,0)</f>
        <v>0</v>
      </c>
      <c r="J8" s="456">
        <f>ROUND(+'SP Min'!E32-'SP Min'!E54,0)</f>
        <v>0</v>
      </c>
      <c r="K8" s="451">
        <f t="shared" ref="K8:K37" si="0">+I8-J8</f>
        <v>0</v>
      </c>
      <c r="L8" s="457" t="str">
        <f t="shared" ref="L8:L36" si="1">IF(J8=0,"-    ",K8/J8)</f>
        <v xml:space="preserve">-    </v>
      </c>
      <c r="M8" s="452"/>
    </row>
    <row r="9" spans="1:20" s="458" customFormat="1" ht="11.25">
      <c r="A9" s="459"/>
      <c r="B9" s="440"/>
      <c r="C9" s="453" t="s">
        <v>87</v>
      </c>
      <c r="D9" s="193" t="s">
        <v>3528</v>
      </c>
      <c r="E9" s="440"/>
      <c r="F9" s="460"/>
      <c r="G9" s="455"/>
      <c r="H9" s="455"/>
      <c r="I9" s="461">
        <f>ROUND(+'SP Min'!D35-'SP Min'!D55,0)</f>
        <v>0</v>
      </c>
      <c r="J9" s="461">
        <f>ROUND(+'SP Min'!E35-'SP Min'!E55,0)</f>
        <v>0</v>
      </c>
      <c r="K9" s="451">
        <f t="shared" si="0"/>
        <v>0</v>
      </c>
      <c r="L9" s="457" t="str">
        <f t="shared" si="1"/>
        <v xml:space="preserve">-    </v>
      </c>
      <c r="M9" s="452"/>
    </row>
    <row r="10" spans="1:20" s="458" customFormat="1" ht="11.25">
      <c r="A10" s="459"/>
      <c r="B10" s="440"/>
      <c r="C10" s="453" t="s">
        <v>115</v>
      </c>
      <c r="D10" s="193" t="s">
        <v>3529</v>
      </c>
      <c r="E10" s="440"/>
      <c r="F10" s="460"/>
      <c r="G10" s="455"/>
      <c r="H10" s="455"/>
      <c r="I10" s="461">
        <f>ROUND(+'SP Min'!D38-'SP Min'!D56,0)</f>
        <v>0</v>
      </c>
      <c r="J10" s="461">
        <f>ROUND(+'SP Min'!E38-'SP Min'!E56,0)</f>
        <v>0</v>
      </c>
      <c r="K10" s="451">
        <f t="shared" si="0"/>
        <v>0</v>
      </c>
      <c r="L10" s="457" t="str">
        <f t="shared" si="1"/>
        <v xml:space="preserve">-    </v>
      </c>
      <c r="M10" s="452"/>
      <c r="Q10" s="462"/>
      <c r="R10" s="462"/>
      <c r="S10" s="462"/>
      <c r="T10" s="462"/>
    </row>
    <row r="11" spans="1:20" s="458" customFormat="1" ht="11.25">
      <c r="A11" s="459"/>
      <c r="B11" s="440"/>
      <c r="C11" s="453" t="s">
        <v>3530</v>
      </c>
      <c r="D11" s="193" t="s">
        <v>3531</v>
      </c>
      <c r="E11" s="440"/>
      <c r="F11" s="460"/>
      <c r="G11" s="455"/>
      <c r="H11" s="455"/>
      <c r="I11" s="461">
        <f>ROUND(+'SP Min'!D43,0)</f>
        <v>0</v>
      </c>
      <c r="J11" s="461">
        <f>ROUND(+'SP Min'!E43,0)</f>
        <v>0</v>
      </c>
      <c r="K11" s="451">
        <f t="shared" si="0"/>
        <v>0</v>
      </c>
      <c r="L11" s="457" t="str">
        <f t="shared" si="1"/>
        <v xml:space="preserve">-    </v>
      </c>
      <c r="M11" s="452"/>
      <c r="Q11" s="462"/>
      <c r="R11" s="462"/>
      <c r="S11" s="462"/>
      <c r="T11" s="462"/>
    </row>
    <row r="12" spans="1:20" s="458" customFormat="1" ht="11.25">
      <c r="A12" s="459"/>
      <c r="B12" s="440"/>
      <c r="C12" s="453" t="s">
        <v>3532</v>
      </c>
      <c r="D12" s="193" t="s">
        <v>3533</v>
      </c>
      <c r="E12" s="440"/>
      <c r="F12" s="460"/>
      <c r="G12" s="455"/>
      <c r="H12" s="455"/>
      <c r="I12" s="461">
        <f>ROUND(+'SP Min'!D44-'SP Min'!D57,0)</f>
        <v>11566</v>
      </c>
      <c r="J12" s="461">
        <f>ROUND(+'SP Min'!E44-'SP Min'!E57,0)</f>
        <v>24691</v>
      </c>
      <c r="K12" s="451">
        <f t="shared" si="0"/>
        <v>-13125</v>
      </c>
      <c r="L12" s="457">
        <f t="shared" si="1"/>
        <v>-0.53157020776801267</v>
      </c>
      <c r="M12" s="452"/>
      <c r="Q12" s="462"/>
      <c r="R12" s="462"/>
      <c r="S12" s="462"/>
      <c r="T12" s="462"/>
    </row>
    <row r="13" spans="1:20" s="447" customFormat="1" ht="11.25">
      <c r="A13" s="448"/>
      <c r="B13" s="440" t="s">
        <v>123</v>
      </c>
      <c r="C13" s="463" t="s">
        <v>3534</v>
      </c>
      <c r="D13" s="440"/>
      <c r="E13" s="440"/>
      <c r="F13" s="441"/>
      <c r="G13" s="442"/>
      <c r="H13" s="442"/>
      <c r="I13" s="450">
        <f>I14+I17+SUM(I20:I26)</f>
        <v>36287535</v>
      </c>
      <c r="J13" s="450">
        <f>J14+J17+SUM(J20:J26)</f>
        <v>35892904</v>
      </c>
      <c r="K13" s="451">
        <f t="shared" si="0"/>
        <v>394631</v>
      </c>
      <c r="L13" s="446">
        <f t="shared" si="1"/>
        <v>1.0994680174109065E-2</v>
      </c>
      <c r="M13" s="452"/>
      <c r="Q13" s="464"/>
      <c r="R13" s="464"/>
      <c r="S13" s="464"/>
      <c r="T13" s="464"/>
    </row>
    <row r="14" spans="1:20" s="458" customFormat="1" ht="11.25">
      <c r="A14" s="438"/>
      <c r="B14" s="440"/>
      <c r="C14" s="453" t="s">
        <v>85</v>
      </c>
      <c r="D14" s="193" t="s">
        <v>3535</v>
      </c>
      <c r="E14" s="453"/>
      <c r="F14" s="465"/>
      <c r="G14" s="455"/>
      <c r="H14" s="455"/>
      <c r="I14" s="461">
        <f>SUM(I15:I16)</f>
        <v>0</v>
      </c>
      <c r="J14" s="461">
        <f>SUM(J15:J16)</f>
        <v>0</v>
      </c>
      <c r="K14" s="451">
        <f t="shared" si="0"/>
        <v>0</v>
      </c>
      <c r="L14" s="446" t="str">
        <f t="shared" si="1"/>
        <v xml:space="preserve">-    </v>
      </c>
      <c r="M14" s="452"/>
      <c r="Q14" s="462"/>
      <c r="R14" s="462"/>
      <c r="S14" s="462"/>
      <c r="T14" s="462"/>
    </row>
    <row r="15" spans="1:20" s="472" customFormat="1" ht="11.25">
      <c r="A15" s="466"/>
      <c r="B15" s="467"/>
      <c r="C15" s="468"/>
      <c r="D15" s="468" t="s">
        <v>3536</v>
      </c>
      <c r="E15" s="469" t="s">
        <v>3537</v>
      </c>
      <c r="F15" s="470"/>
      <c r="G15" s="471"/>
      <c r="H15" s="471"/>
      <c r="I15" s="461">
        <f>ROUND(+'SP Min'!D60-'Alimentazione SP P'!I55,0)</f>
        <v>0</v>
      </c>
      <c r="J15" s="461">
        <f>ROUND(+'SP Min'!E60-'Alimentazione SP P'!J55,0)</f>
        <v>0</v>
      </c>
      <c r="K15" s="451">
        <f t="shared" si="0"/>
        <v>0</v>
      </c>
      <c r="L15" s="446" t="str">
        <f t="shared" si="1"/>
        <v xml:space="preserve">-    </v>
      </c>
      <c r="M15" s="452"/>
      <c r="Q15" s="473"/>
      <c r="R15" s="473"/>
      <c r="S15" s="473"/>
      <c r="T15" s="473"/>
    </row>
    <row r="16" spans="1:20" s="472" customFormat="1" ht="11.25">
      <c r="A16" s="466"/>
      <c r="B16" s="467"/>
      <c r="C16" s="468"/>
      <c r="D16" s="468" t="s">
        <v>3538</v>
      </c>
      <c r="E16" s="474" t="s">
        <v>3539</v>
      </c>
      <c r="F16" s="465"/>
      <c r="G16" s="471"/>
      <c r="H16" s="471"/>
      <c r="I16" s="461">
        <f>ROUND(+'SP Min'!D61-'Alimentazione SP P'!I56,0)</f>
        <v>0</v>
      </c>
      <c r="J16" s="461">
        <f>ROUND(+'SP Min'!E61-'Alimentazione SP P'!J56,0)</f>
        <v>0</v>
      </c>
      <c r="K16" s="451">
        <f t="shared" si="0"/>
        <v>0</v>
      </c>
      <c r="L16" s="446" t="str">
        <f t="shared" si="1"/>
        <v xml:space="preserve">-    </v>
      </c>
      <c r="M16" s="452"/>
      <c r="Q16" s="473"/>
      <c r="R16" s="473"/>
      <c r="S16" s="473"/>
      <c r="T16" s="473"/>
    </row>
    <row r="17" spans="1:20" s="458" customFormat="1" ht="11.25">
      <c r="A17" s="438"/>
      <c r="B17" s="440"/>
      <c r="C17" s="453" t="s">
        <v>87</v>
      </c>
      <c r="D17" s="197" t="s">
        <v>3540</v>
      </c>
      <c r="E17" s="440"/>
      <c r="F17" s="460"/>
      <c r="G17" s="455"/>
      <c r="H17" s="455"/>
      <c r="I17" s="461">
        <f>SUM(I18:I19)</f>
        <v>28213541</v>
      </c>
      <c r="J17" s="461">
        <f>SUM(J18:J19)</f>
        <v>28198615</v>
      </c>
      <c r="K17" s="451">
        <f t="shared" si="0"/>
        <v>14926</v>
      </c>
      <c r="L17" s="457">
        <f t="shared" si="1"/>
        <v>5.293167767282188E-4</v>
      </c>
      <c r="M17" s="452"/>
      <c r="Q17" s="462"/>
      <c r="R17" s="462"/>
      <c r="S17" s="462"/>
      <c r="T17" s="462"/>
    </row>
    <row r="18" spans="1:20" s="458" customFormat="1" ht="11.25">
      <c r="A18" s="438"/>
      <c r="B18" s="440"/>
      <c r="C18" s="453"/>
      <c r="D18" s="468" t="s">
        <v>3536</v>
      </c>
      <c r="E18" s="469" t="s">
        <v>3541</v>
      </c>
      <c r="F18" s="465"/>
      <c r="G18" s="455"/>
      <c r="H18" s="455"/>
      <c r="I18" s="461">
        <f>ROUND('SP Min'!D63-'Alimentazione SP P'!I57,0)</f>
        <v>2159996</v>
      </c>
      <c r="J18" s="461">
        <f>ROUND('SP Min'!E63-'Alimentazione SP P'!J57,0)</f>
        <v>2226878</v>
      </c>
      <c r="K18" s="451">
        <f t="shared" si="0"/>
        <v>-66882</v>
      </c>
      <c r="L18" s="457">
        <f t="shared" si="1"/>
        <v>-3.0033975817265246E-2</v>
      </c>
      <c r="M18" s="452"/>
      <c r="Q18" s="462"/>
      <c r="R18" s="462"/>
      <c r="S18" s="462"/>
      <c r="T18" s="462"/>
    </row>
    <row r="19" spans="1:20" s="458" customFormat="1" ht="11.25">
      <c r="A19" s="438"/>
      <c r="B19" s="440"/>
      <c r="C19" s="453"/>
      <c r="D19" s="468" t="s">
        <v>3538</v>
      </c>
      <c r="E19" s="469" t="s">
        <v>3542</v>
      </c>
      <c r="F19" s="193"/>
      <c r="G19" s="455"/>
      <c r="H19" s="455"/>
      <c r="I19" s="461">
        <f>+ROUND('SP Min'!D66-'Alimentazione SP P'!I58,0)</f>
        <v>26053545</v>
      </c>
      <c r="J19" s="461">
        <f>+ROUND('SP Min'!E66-'Alimentazione SP P'!J58,0)</f>
        <v>25971737</v>
      </c>
      <c r="K19" s="451">
        <f t="shared" si="0"/>
        <v>81808</v>
      </c>
      <c r="L19" s="457">
        <f t="shared" si="1"/>
        <v>3.1498855852421423E-3</v>
      </c>
      <c r="M19" s="452"/>
      <c r="Q19" s="462"/>
      <c r="R19" s="462"/>
      <c r="S19" s="462"/>
      <c r="T19" s="462"/>
    </row>
    <row r="20" spans="1:20" s="458" customFormat="1" ht="11.25">
      <c r="A20" s="438"/>
      <c r="B20" s="440"/>
      <c r="C20" s="453" t="s">
        <v>115</v>
      </c>
      <c r="D20" s="197" t="s">
        <v>3543</v>
      </c>
      <c r="E20" s="440"/>
      <c r="F20" s="193"/>
      <c r="G20" s="455"/>
      <c r="H20" s="455"/>
      <c r="I20" s="461">
        <f>+ROUND('SP Min'!D69-'SP Min'!D89,0)</f>
        <v>422803</v>
      </c>
      <c r="J20" s="461">
        <f>+ROUND('SP Min'!E69-'SP Min'!E89,0)</f>
        <v>487849</v>
      </c>
      <c r="K20" s="451">
        <f t="shared" si="0"/>
        <v>-65046</v>
      </c>
      <c r="L20" s="457">
        <f t="shared" si="1"/>
        <v>-0.13333224009888306</v>
      </c>
      <c r="M20" s="452"/>
      <c r="Q20" s="462"/>
      <c r="R20" s="462"/>
      <c r="S20" s="462"/>
      <c r="T20" s="462"/>
    </row>
    <row r="21" spans="1:20" s="458" customFormat="1" ht="11.25">
      <c r="A21" s="438"/>
      <c r="B21" s="440"/>
      <c r="C21" s="453" t="s">
        <v>3530</v>
      </c>
      <c r="D21" s="475" t="s">
        <v>3544</v>
      </c>
      <c r="E21" s="440"/>
      <c r="F21" s="460"/>
      <c r="G21" s="455"/>
      <c r="H21" s="455"/>
      <c r="I21" s="461">
        <f>+ROUND('SP Min'!D72-'SP Min'!D90,0)</f>
        <v>4234539</v>
      </c>
      <c r="J21" s="461">
        <f>+ROUND('SP Min'!E72-'SP Min'!E90,0)</f>
        <v>4800853</v>
      </c>
      <c r="K21" s="451">
        <f t="shared" si="0"/>
        <v>-566314</v>
      </c>
      <c r="L21" s="457">
        <f t="shared" si="1"/>
        <v>-0.11796112065918286</v>
      </c>
      <c r="M21" s="452"/>
      <c r="Q21" s="462"/>
      <c r="R21" s="462"/>
      <c r="S21" s="462"/>
      <c r="T21" s="462"/>
    </row>
    <row r="22" spans="1:20" s="458" customFormat="1" ht="11.25">
      <c r="A22" s="438"/>
      <c r="B22" s="440"/>
      <c r="C22" s="453" t="s">
        <v>3532</v>
      </c>
      <c r="D22" s="197" t="s">
        <v>3545</v>
      </c>
      <c r="E22" s="440"/>
      <c r="F22" s="454"/>
      <c r="G22" s="455"/>
      <c r="H22" s="455"/>
      <c r="I22" s="461">
        <f>+ROUND('SP Min'!D75-'SP Min'!D91,0)</f>
        <v>336647</v>
      </c>
      <c r="J22" s="461">
        <f>+ROUND('SP Min'!E75-'SP Min'!E91,0)</f>
        <v>353455</v>
      </c>
      <c r="K22" s="451">
        <f t="shared" si="0"/>
        <v>-16808</v>
      </c>
      <c r="L22" s="457">
        <f t="shared" si="1"/>
        <v>-4.7553436788275734E-2</v>
      </c>
      <c r="M22" s="452"/>
      <c r="Q22" s="462"/>
      <c r="R22" s="462"/>
      <c r="S22" s="462"/>
      <c r="T22" s="462"/>
    </row>
    <row r="23" spans="1:20" s="458" customFormat="1" ht="11.25">
      <c r="A23" s="438"/>
      <c r="B23" s="440"/>
      <c r="C23" s="453" t="s">
        <v>3546</v>
      </c>
      <c r="D23" s="197" t="s">
        <v>3547</v>
      </c>
      <c r="E23" s="440"/>
      <c r="F23" s="193"/>
      <c r="G23" s="455"/>
      <c r="H23" s="455"/>
      <c r="I23" s="461">
        <f>+ROUND('SP Min'!D78-'SP Min'!D92,0)</f>
        <v>0</v>
      </c>
      <c r="J23" s="461">
        <f>+ROUND('SP Min'!E78-'SP Min'!E92,0)</f>
        <v>1688</v>
      </c>
      <c r="K23" s="451">
        <f t="shared" si="0"/>
        <v>-1688</v>
      </c>
      <c r="L23" s="457">
        <f t="shared" si="1"/>
        <v>-1</v>
      </c>
      <c r="M23" s="452"/>
      <c r="Q23" s="462"/>
      <c r="R23" s="462"/>
      <c r="S23" s="462"/>
      <c r="T23" s="462"/>
    </row>
    <row r="24" spans="1:20" s="458" customFormat="1" ht="11.25">
      <c r="A24" s="438"/>
      <c r="B24" s="440"/>
      <c r="C24" s="453" t="s">
        <v>3548</v>
      </c>
      <c r="D24" s="197" t="s">
        <v>3549</v>
      </c>
      <c r="E24" s="440"/>
      <c r="F24" s="193"/>
      <c r="G24" s="455"/>
      <c r="H24" s="455"/>
      <c r="I24" s="461">
        <f>+ROUND('SP Min'!D81-'SP Min'!D93,0)</f>
        <v>0</v>
      </c>
      <c r="J24" s="461">
        <f>+ROUND('SP Min'!E81-'SP Min'!E93,0)</f>
        <v>0</v>
      </c>
      <c r="K24" s="451">
        <f t="shared" si="0"/>
        <v>0</v>
      </c>
      <c r="L24" s="457" t="str">
        <f t="shared" si="1"/>
        <v xml:space="preserve">-    </v>
      </c>
      <c r="M24" s="452"/>
      <c r="Q24" s="462"/>
      <c r="R24" s="462"/>
      <c r="S24" s="462"/>
      <c r="T24" s="462"/>
    </row>
    <row r="25" spans="1:20" s="458" customFormat="1" ht="11.25">
      <c r="A25" s="438"/>
      <c r="B25" s="440"/>
      <c r="C25" s="453" t="s">
        <v>3550</v>
      </c>
      <c r="D25" s="193" t="s">
        <v>3551</v>
      </c>
      <c r="E25" s="440"/>
      <c r="F25" s="460"/>
      <c r="G25" s="455"/>
      <c r="H25" s="455"/>
      <c r="I25" s="461">
        <f>+ROUND('SP Min'!D82-'SP Min'!D94,0)</f>
        <v>443794</v>
      </c>
      <c r="J25" s="461">
        <f>+ROUND('SP Min'!E82-'SP Min'!E94,0)</f>
        <v>536142</v>
      </c>
      <c r="K25" s="451">
        <f t="shared" si="0"/>
        <v>-92348</v>
      </c>
      <c r="L25" s="457">
        <f t="shared" si="1"/>
        <v>-0.17224541259591675</v>
      </c>
      <c r="M25" s="452"/>
      <c r="Q25" s="462"/>
      <c r="R25" s="462"/>
      <c r="S25" s="462"/>
      <c r="T25" s="462"/>
    </row>
    <row r="26" spans="1:20" s="458" customFormat="1" ht="11.25">
      <c r="A26" s="438"/>
      <c r="B26" s="440"/>
      <c r="C26" s="453" t="s">
        <v>3552</v>
      </c>
      <c r="D26" s="193" t="s">
        <v>3553</v>
      </c>
      <c r="E26" s="440"/>
      <c r="F26" s="454"/>
      <c r="G26" s="455"/>
      <c r="H26" s="455"/>
      <c r="I26" s="461">
        <f>+ROUND('SP Min'!D85,0)</f>
        <v>2636211</v>
      </c>
      <c r="J26" s="461">
        <f>+ROUND('SP Min'!E85,0)</f>
        <v>1514302</v>
      </c>
      <c r="K26" s="451">
        <f t="shared" si="0"/>
        <v>1121909</v>
      </c>
      <c r="L26" s="457">
        <f t="shared" si="1"/>
        <v>0.74087533398225713</v>
      </c>
      <c r="M26" s="452"/>
      <c r="Q26" s="462"/>
      <c r="R26" s="462"/>
      <c r="S26" s="462"/>
      <c r="T26" s="462"/>
    </row>
    <row r="27" spans="1:20" s="458" customFormat="1" ht="11.25">
      <c r="A27" s="438"/>
      <c r="B27" s="440"/>
      <c r="C27" s="453"/>
      <c r="D27" s="440"/>
      <c r="E27" s="440"/>
      <c r="F27" s="197"/>
      <c r="G27" s="476" t="s">
        <v>3554</v>
      </c>
      <c r="H27" s="476" t="s">
        <v>3555</v>
      </c>
      <c r="I27" s="461"/>
      <c r="J27" s="461"/>
      <c r="K27" s="451">
        <f t="shared" si="0"/>
        <v>0</v>
      </c>
      <c r="L27" s="457" t="str">
        <f t="shared" si="1"/>
        <v xml:space="preserve">-    </v>
      </c>
      <c r="M27" s="452"/>
      <c r="Q27" s="462"/>
      <c r="R27" s="462"/>
      <c r="S27" s="462"/>
      <c r="T27" s="462"/>
    </row>
    <row r="28" spans="1:20" s="447" customFormat="1" ht="26.25" customHeight="1">
      <c r="A28" s="448"/>
      <c r="B28" s="440" t="s">
        <v>124</v>
      </c>
      <c r="C28" s="1039" t="s">
        <v>3556</v>
      </c>
      <c r="D28" s="1039"/>
      <c r="E28" s="1039"/>
      <c r="F28" s="1040"/>
      <c r="G28" s="450">
        <f t="shared" ref="G28:H28" si="2">G29+G34</f>
        <v>0</v>
      </c>
      <c r="H28" s="450">
        <f t="shared" si="2"/>
        <v>0</v>
      </c>
      <c r="I28" s="450">
        <f>I29+I34</f>
        <v>68464</v>
      </c>
      <c r="J28" s="450">
        <f>J29+J34</f>
        <v>182095</v>
      </c>
      <c r="K28" s="451">
        <f t="shared" si="0"/>
        <v>-113631</v>
      </c>
      <c r="L28" s="446">
        <f t="shared" si="1"/>
        <v>-0.62402042889700426</v>
      </c>
      <c r="M28" s="452"/>
      <c r="Q28" s="464"/>
      <c r="R28" s="464"/>
      <c r="S28" s="464"/>
      <c r="T28" s="464"/>
    </row>
    <row r="29" spans="1:20" s="458" customFormat="1" ht="11.25">
      <c r="A29" s="459"/>
      <c r="B29" s="440"/>
      <c r="C29" s="453" t="s">
        <v>85</v>
      </c>
      <c r="D29" s="477" t="s">
        <v>3557</v>
      </c>
      <c r="E29" s="460"/>
      <c r="F29" s="460"/>
      <c r="G29" s="461">
        <f t="shared" ref="G29:H29" si="3">SUM(G30:G33)</f>
        <v>0</v>
      </c>
      <c r="H29" s="461">
        <f t="shared" si="3"/>
        <v>0</v>
      </c>
      <c r="I29" s="461">
        <f>SUM(I30:I33)</f>
        <v>63464</v>
      </c>
      <c r="J29" s="461">
        <f>SUM(J30:J33)</f>
        <v>177095</v>
      </c>
      <c r="K29" s="451">
        <f t="shared" si="0"/>
        <v>-113631</v>
      </c>
      <c r="L29" s="457">
        <f t="shared" si="1"/>
        <v>-0.64163866851125106</v>
      </c>
      <c r="M29" s="452"/>
      <c r="Q29" s="462"/>
      <c r="R29" s="462"/>
      <c r="S29" s="462"/>
      <c r="T29" s="462"/>
    </row>
    <row r="30" spans="1:20" s="458" customFormat="1" ht="11.25">
      <c r="A30" s="438"/>
      <c r="B30" s="440"/>
      <c r="C30" s="440"/>
      <c r="D30" s="468" t="s">
        <v>3536</v>
      </c>
      <c r="E30" s="465" t="s">
        <v>3558</v>
      </c>
      <c r="F30" s="454"/>
      <c r="G30" s="478"/>
      <c r="H30" s="478"/>
      <c r="I30" s="461">
        <f>+ROUND('SP Min'!D97,0)</f>
        <v>0</v>
      </c>
      <c r="J30" s="461">
        <f>+ROUND('SP Min'!E97,0)</f>
        <v>0</v>
      </c>
      <c r="K30" s="451">
        <f t="shared" si="0"/>
        <v>0</v>
      </c>
      <c r="L30" s="457" t="str">
        <f t="shared" si="1"/>
        <v xml:space="preserve">-    </v>
      </c>
      <c r="M30" s="452"/>
      <c r="Q30" s="462"/>
      <c r="R30" s="462"/>
      <c r="S30" s="462"/>
      <c r="T30" s="462"/>
    </row>
    <row r="31" spans="1:20" s="458" customFormat="1" ht="11.25">
      <c r="A31" s="438"/>
      <c r="B31" s="440"/>
      <c r="C31" s="440"/>
      <c r="D31" s="468" t="s">
        <v>3538</v>
      </c>
      <c r="E31" s="465" t="s">
        <v>3559</v>
      </c>
      <c r="F31" s="465"/>
      <c r="G31" s="478"/>
      <c r="H31" s="478"/>
      <c r="I31" s="461">
        <f>+ROUND('SP Min'!D98,0)</f>
        <v>0</v>
      </c>
      <c r="J31" s="461">
        <f>+ROUND('SP Min'!E98,0)</f>
        <v>0</v>
      </c>
      <c r="K31" s="451">
        <f t="shared" si="0"/>
        <v>0</v>
      </c>
      <c r="L31" s="457" t="str">
        <f t="shared" si="1"/>
        <v xml:space="preserve">-    </v>
      </c>
      <c r="M31" s="452"/>
      <c r="Q31" s="462"/>
      <c r="R31" s="462"/>
      <c r="S31" s="462"/>
      <c r="T31" s="462"/>
    </row>
    <row r="32" spans="1:20" s="458" customFormat="1" ht="11.25">
      <c r="A32" s="438"/>
      <c r="B32" s="440"/>
      <c r="C32" s="453"/>
      <c r="D32" s="468" t="s">
        <v>3560</v>
      </c>
      <c r="E32" s="479" t="s">
        <v>3561</v>
      </c>
      <c r="F32" s="454"/>
      <c r="G32" s="478"/>
      <c r="H32" s="478"/>
      <c r="I32" s="461">
        <f>+ROUND('SP Min'!D99,0)</f>
        <v>0</v>
      </c>
      <c r="J32" s="461">
        <f>+ROUND('SP Min'!E99,0)</f>
        <v>0</v>
      </c>
      <c r="K32" s="451">
        <f t="shared" si="0"/>
        <v>0</v>
      </c>
      <c r="L32" s="457" t="str">
        <f t="shared" si="1"/>
        <v xml:space="preserve">-    </v>
      </c>
      <c r="M32" s="452"/>
      <c r="Q32" s="462"/>
      <c r="R32" s="462"/>
      <c r="S32" s="462"/>
      <c r="T32" s="462"/>
    </row>
    <row r="33" spans="1:20" s="458" customFormat="1" ht="11.25">
      <c r="A33" s="438"/>
      <c r="B33" s="440"/>
      <c r="C33" s="453"/>
      <c r="D33" s="468" t="s">
        <v>3562</v>
      </c>
      <c r="E33" s="479" t="s">
        <v>3563</v>
      </c>
      <c r="F33" s="477"/>
      <c r="G33" s="478"/>
      <c r="H33" s="480"/>
      <c r="I33" s="461">
        <f>+ROUND('SP Min'!D100,0)</f>
        <v>63464</v>
      </c>
      <c r="J33" s="461">
        <f>+ROUND('SP Min'!E100,0)</f>
        <v>177095</v>
      </c>
      <c r="K33" s="451">
        <f t="shared" si="0"/>
        <v>-113631</v>
      </c>
      <c r="L33" s="457">
        <f t="shared" si="1"/>
        <v>-0.64163866851125106</v>
      </c>
      <c r="M33" s="452"/>
      <c r="Q33" s="462"/>
      <c r="R33" s="462"/>
      <c r="S33" s="462"/>
      <c r="T33" s="462"/>
    </row>
    <row r="34" spans="1:20" s="458" customFormat="1" ht="11.25">
      <c r="A34" s="438"/>
      <c r="B34" s="440"/>
      <c r="C34" s="453" t="s">
        <v>87</v>
      </c>
      <c r="D34" s="197" t="s">
        <v>3564</v>
      </c>
      <c r="E34" s="453"/>
      <c r="F34" s="477"/>
      <c r="G34" s="481"/>
      <c r="H34" s="455"/>
      <c r="I34" s="461">
        <f>SUM(I35:I36)</f>
        <v>5000</v>
      </c>
      <c r="J34" s="461">
        <f>SUM(J35:J36)</f>
        <v>5000</v>
      </c>
      <c r="K34" s="451">
        <f t="shared" si="0"/>
        <v>0</v>
      </c>
      <c r="L34" s="457">
        <f t="shared" si="1"/>
        <v>0</v>
      </c>
      <c r="M34" s="452"/>
      <c r="Q34" s="462"/>
      <c r="R34" s="462"/>
      <c r="S34" s="462"/>
      <c r="T34" s="462"/>
    </row>
    <row r="35" spans="1:20" s="458" customFormat="1" ht="11.25">
      <c r="A35" s="438"/>
      <c r="B35" s="440"/>
      <c r="C35" s="453"/>
      <c r="D35" s="468" t="s">
        <v>3536</v>
      </c>
      <c r="E35" s="469" t="s">
        <v>3565</v>
      </c>
      <c r="F35" s="460"/>
      <c r="G35" s="455"/>
      <c r="H35" s="455"/>
      <c r="I35" s="461">
        <f>+ROUND('SP Min'!D102,0)</f>
        <v>5000</v>
      </c>
      <c r="J35" s="461">
        <f>+ROUND('SP Min'!E102,0)</f>
        <v>5000</v>
      </c>
      <c r="K35" s="451">
        <f t="shared" si="0"/>
        <v>0</v>
      </c>
      <c r="L35" s="457">
        <f t="shared" si="1"/>
        <v>0</v>
      </c>
      <c r="M35" s="452"/>
      <c r="Q35" s="462"/>
      <c r="R35" s="462"/>
      <c r="S35" s="462"/>
      <c r="T35" s="462"/>
    </row>
    <row r="36" spans="1:20" s="458" customFormat="1" ht="11.25">
      <c r="A36" s="438"/>
      <c r="B36" s="440"/>
      <c r="C36" s="453"/>
      <c r="D36" s="468" t="s">
        <v>3538</v>
      </c>
      <c r="E36" s="469" t="s">
        <v>3566</v>
      </c>
      <c r="F36" s="193"/>
      <c r="G36" s="482"/>
      <c r="H36" s="455"/>
      <c r="I36" s="480">
        <f>+ROUND('SP Min'!D103,0)</f>
        <v>0</v>
      </c>
      <c r="J36" s="480">
        <f>+ROUND('SP Min'!E103,0)</f>
        <v>0</v>
      </c>
      <c r="K36" s="451">
        <f t="shared" si="0"/>
        <v>0</v>
      </c>
      <c r="L36" s="457" t="str">
        <f t="shared" si="1"/>
        <v xml:space="preserve">-    </v>
      </c>
      <c r="M36" s="452"/>
      <c r="Q36" s="462"/>
      <c r="R36" s="462"/>
      <c r="S36" s="462"/>
      <c r="T36" s="462"/>
    </row>
    <row r="37" spans="1:20" s="447" customFormat="1" ht="11.25">
      <c r="A37" s="1025" t="s">
        <v>3567</v>
      </c>
      <c r="B37" s="1026"/>
      <c r="C37" s="1026"/>
      <c r="D37" s="1026"/>
      <c r="E37" s="1026"/>
      <c r="F37" s="1026"/>
      <c r="G37" s="1041"/>
      <c r="H37" s="1026"/>
      <c r="I37" s="483">
        <f>I7+I13+I28</f>
        <v>36367565</v>
      </c>
      <c r="J37" s="484">
        <f>J7+J13+J28</f>
        <v>36099690</v>
      </c>
      <c r="K37" s="485">
        <f t="shared" si="0"/>
        <v>267875</v>
      </c>
      <c r="L37" s="173">
        <f>IF(J37=0,"-    ",K37/J37)</f>
        <v>7.4204238318944012E-3</v>
      </c>
      <c r="M37" s="452"/>
      <c r="Q37" s="464"/>
      <c r="R37" s="464"/>
      <c r="S37" s="464"/>
      <c r="T37" s="464"/>
    </row>
    <row r="38" spans="1:20" s="447" customFormat="1" ht="11.25">
      <c r="A38" s="438"/>
      <c r="B38" s="440"/>
      <c r="C38" s="440"/>
      <c r="D38" s="440"/>
      <c r="E38" s="440"/>
      <c r="F38" s="449"/>
      <c r="G38" s="442"/>
      <c r="H38" s="442"/>
      <c r="I38" s="486"/>
      <c r="J38" s="486"/>
      <c r="K38" s="487"/>
      <c r="L38" s="488"/>
      <c r="M38" s="452"/>
      <c r="Q38" s="464"/>
      <c r="R38" s="464"/>
      <c r="S38" s="464"/>
      <c r="T38" s="464"/>
    </row>
    <row r="39" spans="1:20" s="447" customFormat="1" ht="11.25">
      <c r="A39" s="489" t="s">
        <v>32</v>
      </c>
      <c r="B39" s="490" t="s">
        <v>3568</v>
      </c>
      <c r="C39" s="491"/>
      <c r="D39" s="491"/>
      <c r="E39" s="491"/>
      <c r="F39" s="441"/>
      <c r="G39" s="442"/>
      <c r="H39" s="442"/>
      <c r="I39" s="450"/>
      <c r="J39" s="444"/>
      <c r="K39" s="445"/>
      <c r="L39" s="446"/>
      <c r="M39" s="452"/>
      <c r="Q39" s="464"/>
      <c r="R39" s="464"/>
      <c r="S39" s="464"/>
      <c r="T39" s="464"/>
    </row>
    <row r="40" spans="1:20" s="447" customFormat="1" ht="11.25">
      <c r="A40" s="489"/>
      <c r="B40" s="491" t="s">
        <v>122</v>
      </c>
      <c r="C40" s="492" t="s">
        <v>3569</v>
      </c>
      <c r="D40" s="491"/>
      <c r="E40" s="491"/>
      <c r="F40" s="449"/>
      <c r="G40" s="442"/>
      <c r="H40" s="442"/>
      <c r="I40" s="450">
        <f>SUM(I41:I44)</f>
        <v>943216</v>
      </c>
      <c r="J40" s="450">
        <f>SUM(J41:J44)</f>
        <v>1315657</v>
      </c>
      <c r="K40" s="451">
        <f>+I40-J40</f>
        <v>-372441</v>
      </c>
      <c r="L40" s="446">
        <f t="shared" ref="L40:L98" si="4">IF(J40=0,"-    ",K40/J40)</f>
        <v>-0.28308366086297571</v>
      </c>
      <c r="M40" s="452"/>
      <c r="Q40" s="464"/>
      <c r="R40" s="464"/>
      <c r="S40" s="464"/>
      <c r="T40" s="464"/>
    </row>
    <row r="41" spans="1:20" s="458" customFormat="1" ht="11.25">
      <c r="A41" s="489"/>
      <c r="B41" s="491"/>
      <c r="C41" s="493" t="s">
        <v>85</v>
      </c>
      <c r="D41" s="493" t="s">
        <v>3570</v>
      </c>
      <c r="E41" s="491"/>
      <c r="F41" s="460"/>
      <c r="G41" s="455"/>
      <c r="H41" s="455"/>
      <c r="I41" s="461">
        <f>+ROUND('SP Min'!D110-'SP Min'!D119,0)</f>
        <v>798693</v>
      </c>
      <c r="J41" s="461">
        <f>+ROUND('SP Min'!E110-'SP Min'!E119,0)</f>
        <v>1178726</v>
      </c>
      <c r="K41" s="451">
        <f t="shared" ref="K41:K90" si="5">+I41-J41</f>
        <v>-380033</v>
      </c>
      <c r="L41" s="457">
        <f t="shared" si="4"/>
        <v>-0.32240995786976789</v>
      </c>
      <c r="M41" s="452"/>
      <c r="Q41" s="462"/>
      <c r="R41" s="462"/>
      <c r="S41" s="462"/>
      <c r="T41" s="462"/>
    </row>
    <row r="42" spans="1:20" s="458" customFormat="1" ht="11.25">
      <c r="A42" s="489"/>
      <c r="B42" s="491"/>
      <c r="C42" s="493" t="s">
        <v>87</v>
      </c>
      <c r="D42" s="493" t="s">
        <v>3571</v>
      </c>
      <c r="E42" s="491"/>
      <c r="F42" s="193"/>
      <c r="G42" s="455"/>
      <c r="H42" s="455"/>
      <c r="I42" s="461">
        <f>+ROUND('SP Min'!D120-'SP Min'!D127,0)</f>
        <v>144523</v>
      </c>
      <c r="J42" s="461">
        <f>+ROUND('SP Min'!E120-'SP Min'!E127,0)</f>
        <v>136931</v>
      </c>
      <c r="K42" s="451">
        <f t="shared" si="5"/>
        <v>7592</v>
      </c>
      <c r="L42" s="457">
        <f t="shared" si="4"/>
        <v>5.5443982735830455E-2</v>
      </c>
      <c r="M42" s="452"/>
      <c r="Q42" s="462"/>
      <c r="R42" s="462"/>
      <c r="S42" s="462"/>
      <c r="T42" s="462"/>
    </row>
    <row r="43" spans="1:20" s="458" customFormat="1" ht="11.25">
      <c r="A43" s="489"/>
      <c r="B43" s="491"/>
      <c r="C43" s="493" t="s">
        <v>115</v>
      </c>
      <c r="D43" s="493" t="s">
        <v>3572</v>
      </c>
      <c r="E43" s="491"/>
      <c r="F43" s="494"/>
      <c r="G43" s="455"/>
      <c r="H43" s="455"/>
      <c r="I43" s="461">
        <f>+ROUND('SP Min'!D119,0)</f>
        <v>0</v>
      </c>
      <c r="J43" s="461">
        <f>+ROUND('SP Min'!E119,0)</f>
        <v>0</v>
      </c>
      <c r="K43" s="451">
        <f t="shared" si="5"/>
        <v>0</v>
      </c>
      <c r="L43" s="457" t="str">
        <f t="shared" si="4"/>
        <v xml:space="preserve">-    </v>
      </c>
      <c r="M43" s="452"/>
      <c r="Q43" s="462"/>
      <c r="R43" s="462"/>
      <c r="S43" s="462"/>
      <c r="T43" s="462"/>
    </row>
    <row r="44" spans="1:20" s="458" customFormat="1" ht="11.25">
      <c r="A44" s="489"/>
      <c r="B44" s="491"/>
      <c r="C44" s="493" t="s">
        <v>3530</v>
      </c>
      <c r="D44" s="493" t="s">
        <v>3573</v>
      </c>
      <c r="E44" s="491"/>
      <c r="F44" s="193"/>
      <c r="G44" s="455"/>
      <c r="H44" s="455"/>
      <c r="I44" s="461">
        <f>+ROUND('SP Min'!D127,0)</f>
        <v>0</v>
      </c>
      <c r="J44" s="461">
        <f>+ROUND('SP Min'!E127,0)</f>
        <v>0</v>
      </c>
      <c r="K44" s="451">
        <f t="shared" si="5"/>
        <v>0</v>
      </c>
      <c r="L44" s="457" t="str">
        <f t="shared" si="4"/>
        <v xml:space="preserve">-    </v>
      </c>
      <c r="M44" s="452"/>
      <c r="Q44" s="462"/>
      <c r="R44" s="462"/>
      <c r="S44" s="462"/>
      <c r="T44" s="462"/>
    </row>
    <row r="45" spans="1:20" s="458" customFormat="1" ht="11.25">
      <c r="A45" s="489"/>
      <c r="B45" s="491"/>
      <c r="C45" s="491"/>
      <c r="D45" s="491"/>
      <c r="E45" s="491"/>
      <c r="F45" s="193"/>
      <c r="G45" s="476" t="s">
        <v>3554</v>
      </c>
      <c r="H45" s="476" t="s">
        <v>3555</v>
      </c>
      <c r="I45" s="461"/>
      <c r="J45" s="461"/>
      <c r="K45" s="451">
        <f t="shared" si="5"/>
        <v>0</v>
      </c>
      <c r="L45" s="457" t="str">
        <f t="shared" si="4"/>
        <v xml:space="preserve">-    </v>
      </c>
      <c r="M45" s="452"/>
      <c r="Q45" s="462"/>
      <c r="R45" s="462"/>
      <c r="S45" s="462"/>
      <c r="T45" s="462"/>
    </row>
    <row r="46" spans="1:20" s="447" customFormat="1" ht="25.5" customHeight="1">
      <c r="A46" s="448"/>
      <c r="B46" s="440" t="s">
        <v>123</v>
      </c>
      <c r="C46" s="1039" t="s">
        <v>3574</v>
      </c>
      <c r="D46" s="1039"/>
      <c r="E46" s="1039"/>
      <c r="F46" s="1040"/>
      <c r="G46" s="941">
        <f>G47+G58+G71+G72+G75+G76+G77</f>
        <v>12846992</v>
      </c>
      <c r="H46" s="941">
        <f t="shared" ref="H46" si="6">H47+H58+H71+H72+H75+H76+H77</f>
        <v>22830453</v>
      </c>
      <c r="I46" s="450">
        <f>I47+I58+I71+I72+I75+I76+I77</f>
        <v>35677445</v>
      </c>
      <c r="J46" s="450">
        <f>J47+J58+J71+J72+J75+J76+J77</f>
        <v>37299605</v>
      </c>
      <c r="K46" s="451">
        <f t="shared" si="5"/>
        <v>-1622160</v>
      </c>
      <c r="L46" s="446">
        <f t="shared" si="4"/>
        <v>-4.3490004786913963E-2</v>
      </c>
      <c r="M46" s="452"/>
      <c r="Q46" s="464"/>
      <c r="R46" s="464"/>
      <c r="S46" s="464"/>
      <c r="T46" s="464"/>
    </row>
    <row r="47" spans="1:20" s="458" customFormat="1" ht="11.25">
      <c r="A47" s="459"/>
      <c r="B47" s="491"/>
      <c r="C47" s="493" t="s">
        <v>85</v>
      </c>
      <c r="D47" s="493" t="s">
        <v>3575</v>
      </c>
      <c r="E47" s="491"/>
      <c r="F47" s="495"/>
      <c r="G47" s="924">
        <f t="shared" ref="G47:H47" si="7">G48+G51+G52+G57</f>
        <v>1671760</v>
      </c>
      <c r="H47" s="924">
        <f t="shared" si="7"/>
        <v>15901209</v>
      </c>
      <c r="I47" s="461">
        <f>I48+I51+I52+I57</f>
        <v>17572969</v>
      </c>
      <c r="J47" s="461">
        <f>J48+J51+J52+J57</f>
        <v>18387777</v>
      </c>
      <c r="K47" s="451">
        <f t="shared" si="5"/>
        <v>-814808</v>
      </c>
      <c r="L47" s="457">
        <f t="shared" si="4"/>
        <v>-4.4312479969710314E-2</v>
      </c>
      <c r="M47" s="452"/>
      <c r="Q47" s="462"/>
      <c r="R47" s="462"/>
      <c r="S47" s="462"/>
      <c r="T47" s="462"/>
    </row>
    <row r="48" spans="1:20" s="458" customFormat="1" ht="11.25">
      <c r="A48" s="459"/>
      <c r="B48" s="491"/>
      <c r="C48" s="493"/>
      <c r="D48" s="497" t="s">
        <v>3536</v>
      </c>
      <c r="E48" s="497" t="s">
        <v>3576</v>
      </c>
      <c r="F48" s="495"/>
      <c r="G48" s="924">
        <f t="shared" ref="G48:H48" si="8">G49+G50</f>
        <v>209410</v>
      </c>
      <c r="H48" s="924">
        <f t="shared" si="8"/>
        <v>0</v>
      </c>
      <c r="I48" s="461">
        <f>I49+I50</f>
        <v>209410</v>
      </c>
      <c r="J48" s="461">
        <f>J49+J50</f>
        <v>774804</v>
      </c>
      <c r="K48" s="451">
        <f>+I48-J48</f>
        <v>-565394</v>
      </c>
      <c r="L48" s="457">
        <f t="shared" si="4"/>
        <v>-0.72972519501706234</v>
      </c>
      <c r="M48" s="452"/>
      <c r="Q48" s="462"/>
      <c r="R48" s="462"/>
      <c r="S48" s="462"/>
      <c r="T48" s="462"/>
    </row>
    <row r="49" spans="1:20" s="458" customFormat="1" ht="11.25">
      <c r="A49" s="459"/>
      <c r="B49" s="491"/>
      <c r="C49" s="493"/>
      <c r="D49" s="493"/>
      <c r="E49" s="493" t="s">
        <v>85</v>
      </c>
      <c r="F49" s="495" t="s">
        <v>3577</v>
      </c>
      <c r="G49" s="496"/>
      <c r="H49" s="498"/>
      <c r="I49" s="461">
        <f>+ROUND('SP Min'!D130+'SP Min'!D131+'SP Min'!D132+'SP Min'!D133+'SP Min'!D134+'SP Min'!D135+'SP Min'!D137,0)</f>
        <v>0</v>
      </c>
      <c r="J49" s="461">
        <f>+ROUND('SP Min'!E130+'SP Min'!E131+'SP Min'!E132+'SP Min'!E133+'SP Min'!E134+'SP Min'!E135+'SP Min'!E137,0)</f>
        <v>0</v>
      </c>
      <c r="K49" s="451">
        <f t="shared" si="5"/>
        <v>0</v>
      </c>
      <c r="L49" s="457" t="str">
        <f t="shared" si="4"/>
        <v xml:space="preserve">-    </v>
      </c>
      <c r="M49" s="452"/>
      <c r="Q49" s="462"/>
      <c r="R49" s="462"/>
      <c r="S49" s="462"/>
      <c r="T49" s="462"/>
    </row>
    <row r="50" spans="1:20" s="458" customFormat="1" ht="11.25">
      <c r="A50" s="459"/>
      <c r="B50" s="491"/>
      <c r="C50" s="493"/>
      <c r="D50" s="493"/>
      <c r="E50" s="493" t="s">
        <v>87</v>
      </c>
      <c r="F50" s="495" t="s">
        <v>3578</v>
      </c>
      <c r="G50" s="496">
        <v>209410</v>
      </c>
      <c r="H50" s="498"/>
      <c r="I50" s="461">
        <f>+ROUND('SP Min'!D136,0)</f>
        <v>209410</v>
      </c>
      <c r="J50" s="461">
        <f>+ROUND('SP Min'!E136,0)</f>
        <v>774804</v>
      </c>
      <c r="K50" s="451">
        <f t="shared" si="5"/>
        <v>-565394</v>
      </c>
      <c r="L50" s="457">
        <f t="shared" si="4"/>
        <v>-0.72972519501706234</v>
      </c>
      <c r="M50" s="452"/>
      <c r="Q50" s="462"/>
      <c r="R50" s="462"/>
      <c r="S50" s="462"/>
      <c r="T50" s="462"/>
    </row>
    <row r="51" spans="1:20" s="458" customFormat="1" ht="11.25">
      <c r="A51" s="459"/>
      <c r="B51" s="491"/>
      <c r="C51" s="493"/>
      <c r="D51" s="497" t="s">
        <v>3538</v>
      </c>
      <c r="E51" s="497" t="s">
        <v>3579</v>
      </c>
      <c r="F51" s="495"/>
      <c r="G51" s="496"/>
      <c r="H51" s="496">
        <f>15100509+800700</f>
        <v>15901209</v>
      </c>
      <c r="I51" s="461">
        <f>+ROUND('SP Min'!D138,0)</f>
        <v>15901209</v>
      </c>
      <c r="J51" s="461">
        <f>+ROUND('SP Min'!E138,0)</f>
        <v>15901209</v>
      </c>
      <c r="K51" s="451">
        <f t="shared" si="5"/>
        <v>0</v>
      </c>
      <c r="L51" s="457">
        <f t="shared" si="4"/>
        <v>0</v>
      </c>
      <c r="M51" s="452"/>
      <c r="Q51" s="462"/>
      <c r="R51" s="462"/>
      <c r="S51" s="462"/>
      <c r="T51" s="462"/>
    </row>
    <row r="52" spans="1:20" s="458" customFormat="1" ht="11.25">
      <c r="A52" s="459"/>
      <c r="B52" s="491"/>
      <c r="C52" s="493"/>
      <c r="D52" s="497" t="s">
        <v>3560</v>
      </c>
      <c r="E52" s="497" t="s">
        <v>3580</v>
      </c>
      <c r="F52" s="495"/>
      <c r="G52" s="924">
        <f>G53+G54+G55+G56</f>
        <v>1461328</v>
      </c>
      <c r="H52" s="924">
        <f>H53+H54+H55+H56</f>
        <v>0</v>
      </c>
      <c r="I52" s="461">
        <f>I53+I54+I55+I56</f>
        <v>1461328</v>
      </c>
      <c r="J52" s="461">
        <f>J53+J54+J55+J56</f>
        <v>1709531</v>
      </c>
      <c r="K52" s="451">
        <f t="shared" si="5"/>
        <v>-248203</v>
      </c>
      <c r="L52" s="457">
        <f t="shared" si="4"/>
        <v>-0.14518777372273448</v>
      </c>
      <c r="M52" s="452"/>
      <c r="Q52" s="462"/>
      <c r="R52" s="462"/>
      <c r="S52" s="462"/>
      <c r="T52" s="462"/>
    </row>
    <row r="53" spans="1:20" s="458" customFormat="1" ht="11.25">
      <c r="A53" s="459"/>
      <c r="B53" s="491"/>
      <c r="C53" s="493"/>
      <c r="D53" s="493"/>
      <c r="E53" s="493" t="s">
        <v>85</v>
      </c>
      <c r="F53" s="495" t="s">
        <v>3581</v>
      </c>
      <c r="G53" s="496"/>
      <c r="H53" s="498"/>
      <c r="I53" s="461">
        <f>+ROUND('SP Min'!D140,0)</f>
        <v>0</v>
      </c>
      <c r="J53" s="461">
        <f>+ROUND('SP Min'!E140,0)</f>
        <v>0</v>
      </c>
      <c r="K53" s="451">
        <f t="shared" si="5"/>
        <v>0</v>
      </c>
      <c r="L53" s="457" t="str">
        <f t="shared" si="4"/>
        <v xml:space="preserve">-    </v>
      </c>
      <c r="M53" s="452"/>
      <c r="Q53" s="462"/>
      <c r="R53" s="462"/>
      <c r="S53" s="462"/>
      <c r="T53" s="462"/>
    </row>
    <row r="54" spans="1:20" s="458" customFormat="1" ht="11.25">
      <c r="A54" s="459"/>
      <c r="B54" s="491"/>
      <c r="C54" s="493"/>
      <c r="D54" s="493"/>
      <c r="E54" s="493" t="s">
        <v>87</v>
      </c>
      <c r="F54" s="495" t="s">
        <v>3582</v>
      </c>
      <c r="G54" s="496">
        <v>796485</v>
      </c>
      <c r="H54" s="496"/>
      <c r="I54" s="461">
        <f>+ROUND('SP Min'!D141,0)</f>
        <v>796485</v>
      </c>
      <c r="J54" s="461">
        <f>+ROUND('SP Min'!E141,0)</f>
        <v>1044688</v>
      </c>
      <c r="K54" s="451">
        <f t="shared" si="5"/>
        <v>-248203</v>
      </c>
      <c r="L54" s="457">
        <f t="shared" si="4"/>
        <v>-0.23758576723385355</v>
      </c>
      <c r="M54" s="452"/>
      <c r="Q54" s="462"/>
      <c r="R54" s="462"/>
      <c r="S54" s="462"/>
      <c r="T54" s="462"/>
    </row>
    <row r="55" spans="1:20" s="458" customFormat="1" ht="11.25">
      <c r="A55" s="459"/>
      <c r="B55" s="491"/>
      <c r="C55" s="493"/>
      <c r="D55" s="493"/>
      <c r="E55" s="493" t="s">
        <v>115</v>
      </c>
      <c r="F55" s="495" t="s">
        <v>3583</v>
      </c>
      <c r="G55" s="496"/>
      <c r="H55" s="496"/>
      <c r="I55" s="461">
        <f>+ROUND('SP Min'!D142,0)</f>
        <v>0</v>
      </c>
      <c r="J55" s="461">
        <f>+ROUND('SP Min'!E142,0)</f>
        <v>0</v>
      </c>
      <c r="K55" s="451">
        <f t="shared" si="5"/>
        <v>0</v>
      </c>
      <c r="L55" s="457" t="str">
        <f t="shared" si="4"/>
        <v xml:space="preserve">-    </v>
      </c>
      <c r="M55" s="452"/>
      <c r="Q55" s="462"/>
      <c r="R55" s="462"/>
      <c r="S55" s="462"/>
      <c r="T55" s="462"/>
    </row>
    <row r="56" spans="1:20" s="458" customFormat="1" ht="11.25">
      <c r="A56" s="459"/>
      <c r="B56" s="491"/>
      <c r="C56" s="493"/>
      <c r="D56" s="493"/>
      <c r="E56" s="493" t="s">
        <v>3530</v>
      </c>
      <c r="F56" s="495" t="s">
        <v>3584</v>
      </c>
      <c r="G56" s="496">
        <v>664843</v>
      </c>
      <c r="H56" s="496"/>
      <c r="I56" s="461">
        <f>+ROUND('SP Min'!D143,0)</f>
        <v>664843</v>
      </c>
      <c r="J56" s="461">
        <f>+ROUND('SP Min'!E143,0)</f>
        <v>664843</v>
      </c>
      <c r="K56" s="451">
        <f t="shared" si="5"/>
        <v>0</v>
      </c>
      <c r="L56" s="457">
        <f t="shared" si="4"/>
        <v>0</v>
      </c>
      <c r="M56" s="452"/>
      <c r="Q56" s="462"/>
      <c r="R56" s="462"/>
      <c r="S56" s="462"/>
      <c r="T56" s="462"/>
    </row>
    <row r="57" spans="1:20" s="458" customFormat="1" ht="11.25">
      <c r="A57" s="459"/>
      <c r="B57" s="493"/>
      <c r="C57" s="493"/>
      <c r="D57" s="497" t="s">
        <v>3562</v>
      </c>
      <c r="E57" s="497" t="s">
        <v>3585</v>
      </c>
      <c r="F57" s="499"/>
      <c r="G57" s="496">
        <v>1022</v>
      </c>
      <c r="H57" s="496"/>
      <c r="I57" s="461">
        <f>+ROUND('SP Min'!D144,0)</f>
        <v>1022</v>
      </c>
      <c r="J57" s="461">
        <f>+ROUND('SP Min'!E144,0)</f>
        <v>2233</v>
      </c>
      <c r="K57" s="451">
        <f t="shared" si="5"/>
        <v>-1211</v>
      </c>
      <c r="L57" s="457">
        <f t="shared" si="4"/>
        <v>-0.54231974921630099</v>
      </c>
      <c r="M57" s="452"/>
      <c r="Q57" s="462"/>
      <c r="R57" s="462"/>
      <c r="S57" s="462"/>
      <c r="T57" s="462"/>
    </row>
    <row r="58" spans="1:20" s="458" customFormat="1" ht="11.25">
      <c r="A58" s="459"/>
      <c r="B58" s="493"/>
      <c r="C58" s="493" t="s">
        <v>87</v>
      </c>
      <c r="D58" s="493" t="s">
        <v>3586</v>
      </c>
      <c r="E58" s="493"/>
      <c r="F58" s="495"/>
      <c r="G58" s="924">
        <f t="shared" ref="G58:H58" si="9">G59+G66</f>
        <v>6367535</v>
      </c>
      <c r="H58" s="924">
        <f t="shared" si="9"/>
        <v>5956725</v>
      </c>
      <c r="I58" s="461">
        <f>I59+I66</f>
        <v>12324259</v>
      </c>
      <c r="J58" s="461">
        <f>J59+J66</f>
        <v>8932695</v>
      </c>
      <c r="K58" s="451">
        <f t="shared" si="5"/>
        <v>3391564</v>
      </c>
      <c r="L58" s="457">
        <f t="shared" si="4"/>
        <v>0.37967981667346751</v>
      </c>
      <c r="M58" s="452"/>
      <c r="Q58" s="462"/>
      <c r="R58" s="462"/>
      <c r="S58" s="462"/>
      <c r="T58" s="462"/>
    </row>
    <row r="59" spans="1:20" s="458" customFormat="1" ht="11.25">
      <c r="A59" s="459"/>
      <c r="B59" s="493"/>
      <c r="C59" s="493"/>
      <c r="D59" s="497" t="s">
        <v>3536</v>
      </c>
      <c r="E59" s="497" t="s">
        <v>3587</v>
      </c>
      <c r="F59" s="499"/>
      <c r="G59" s="924">
        <f t="shared" ref="G59:H59" si="10">G60+G65</f>
        <v>6367535</v>
      </c>
      <c r="H59" s="924">
        <f t="shared" si="10"/>
        <v>278772</v>
      </c>
      <c r="I59" s="461">
        <f>I60+I65</f>
        <v>6646306</v>
      </c>
      <c r="J59" s="461">
        <f>J60+J65</f>
        <v>1819819</v>
      </c>
      <c r="K59" s="451">
        <f t="shared" si="5"/>
        <v>4826487</v>
      </c>
      <c r="L59" s="457">
        <f t="shared" si="4"/>
        <v>2.6521796947938228</v>
      </c>
      <c r="M59" s="452"/>
      <c r="Q59" s="462"/>
      <c r="R59" s="462"/>
      <c r="S59" s="462"/>
      <c r="T59" s="462"/>
    </row>
    <row r="60" spans="1:20" s="458" customFormat="1" ht="11.25">
      <c r="A60" s="459"/>
      <c r="B60" s="493"/>
      <c r="C60" s="493"/>
      <c r="D60" s="493"/>
      <c r="E60" s="493" t="s">
        <v>85</v>
      </c>
      <c r="F60" s="499" t="s">
        <v>3588</v>
      </c>
      <c r="G60" s="924">
        <f t="shared" ref="G60:H60" si="11">G61+G62+G63+G64</f>
        <v>5717060</v>
      </c>
      <c r="H60" s="924">
        <f t="shared" si="11"/>
        <v>278772</v>
      </c>
      <c r="I60" s="461">
        <f>I61+I62+I63+I64</f>
        <v>5995831</v>
      </c>
      <c r="J60" s="461">
        <f>J61+J62+J63+J64</f>
        <v>1676431</v>
      </c>
      <c r="K60" s="451">
        <f t="shared" si="5"/>
        <v>4319400</v>
      </c>
      <c r="L60" s="457">
        <f t="shared" si="4"/>
        <v>2.5765450531516061</v>
      </c>
      <c r="M60" s="452"/>
      <c r="Q60" s="462"/>
      <c r="R60" s="462"/>
      <c r="S60" s="462"/>
      <c r="T60" s="462"/>
    </row>
    <row r="61" spans="1:20" s="458" customFormat="1" ht="22.5">
      <c r="A61" s="459"/>
      <c r="B61" s="493"/>
      <c r="C61" s="493"/>
      <c r="D61" s="493"/>
      <c r="E61" s="493"/>
      <c r="F61" s="500" t="s">
        <v>3589</v>
      </c>
      <c r="G61" s="496">
        <f>5020044+103752</f>
        <v>5123796</v>
      </c>
      <c r="H61" s="496">
        <v>278772</v>
      </c>
      <c r="I61" s="461">
        <f>+ROUND('SP Min'!D147+'SP Min'!D148+'SP Min'!D149+'SP Min'!D150+'SP Min'!D154+'SP Min'!D156,0)</f>
        <v>5402567</v>
      </c>
      <c r="J61" s="461">
        <f>+ROUND('SP Min'!E147+'SP Min'!E148+'SP Min'!E149+'SP Min'!E150+'SP Min'!E154+'SP Min'!E156,0)</f>
        <v>787286</v>
      </c>
      <c r="K61" s="451">
        <f t="shared" si="5"/>
        <v>4615281</v>
      </c>
      <c r="L61" s="457">
        <f t="shared" si="4"/>
        <v>5.8622673335992257</v>
      </c>
      <c r="M61" s="452"/>
      <c r="N61" s="975"/>
      <c r="Q61" s="462"/>
      <c r="R61" s="462"/>
      <c r="S61" s="462"/>
      <c r="T61" s="462"/>
    </row>
    <row r="62" spans="1:20" s="458" customFormat="1" ht="22.5">
      <c r="A62" s="459"/>
      <c r="B62" s="493"/>
      <c r="C62" s="493"/>
      <c r="D62" s="493"/>
      <c r="E62" s="493"/>
      <c r="F62" s="500" t="s">
        <v>3590</v>
      </c>
      <c r="G62" s="496"/>
      <c r="H62" s="496"/>
      <c r="I62" s="461">
        <f>+ROUND('SP Min'!D151,0)</f>
        <v>0</v>
      </c>
      <c r="J62" s="461">
        <f>+ROUND('SP Min'!E151,0)</f>
        <v>0</v>
      </c>
      <c r="K62" s="451">
        <f t="shared" si="5"/>
        <v>0</v>
      </c>
      <c r="L62" s="457" t="str">
        <f t="shared" si="4"/>
        <v xml:space="preserve">-    </v>
      </c>
      <c r="M62" s="452"/>
      <c r="Q62" s="462"/>
      <c r="R62" s="462"/>
      <c r="S62" s="462"/>
      <c r="T62" s="462"/>
    </row>
    <row r="63" spans="1:20" s="458" customFormat="1" ht="22.5">
      <c r="A63" s="459"/>
      <c r="B63" s="493"/>
      <c r="C63" s="493"/>
      <c r="D63" s="493"/>
      <c r="E63" s="493"/>
      <c r="F63" s="500" t="s">
        <v>3591</v>
      </c>
      <c r="G63" s="496"/>
      <c r="H63" s="496"/>
      <c r="I63" s="461">
        <f>+ROUND('SP Min'!D152,0)</f>
        <v>0</v>
      </c>
      <c r="J63" s="461">
        <f>+ROUND('SP Min'!E152,0)</f>
        <v>0</v>
      </c>
      <c r="K63" s="451">
        <f t="shared" si="5"/>
        <v>0</v>
      </c>
      <c r="L63" s="457" t="str">
        <f t="shared" si="4"/>
        <v xml:space="preserve">-    </v>
      </c>
      <c r="M63" s="452"/>
      <c r="Q63" s="462"/>
      <c r="R63" s="462"/>
      <c r="S63" s="462"/>
      <c r="T63" s="462"/>
    </row>
    <row r="64" spans="1:20" s="458" customFormat="1" ht="22.5">
      <c r="A64" s="459"/>
      <c r="B64" s="493"/>
      <c r="C64" s="493"/>
      <c r="D64" s="493"/>
      <c r="E64" s="493"/>
      <c r="F64" s="500" t="s">
        <v>3592</v>
      </c>
      <c r="G64" s="496">
        <v>593264</v>
      </c>
      <c r="H64" s="501"/>
      <c r="I64" s="461">
        <f>+ROUND('SP Min'!D153,0)</f>
        <v>593264</v>
      </c>
      <c r="J64" s="461">
        <f>+ROUND('SP Min'!E153,0)</f>
        <v>889145</v>
      </c>
      <c r="K64" s="451">
        <f t="shared" si="5"/>
        <v>-295881</v>
      </c>
      <c r="L64" s="457">
        <f t="shared" si="4"/>
        <v>-0.33277024557299428</v>
      </c>
      <c r="M64" s="452"/>
      <c r="Q64" s="462"/>
      <c r="R64" s="462"/>
      <c r="S64" s="462"/>
      <c r="T64" s="462"/>
    </row>
    <row r="65" spans="1:20" s="458" customFormat="1" ht="11.25">
      <c r="A65" s="459"/>
      <c r="B65" s="493"/>
      <c r="C65" s="493"/>
      <c r="D65" s="493"/>
      <c r="E65" s="493" t="s">
        <v>87</v>
      </c>
      <c r="F65" s="493" t="s">
        <v>3593</v>
      </c>
      <c r="G65" s="496">
        <v>650475</v>
      </c>
      <c r="H65" s="501"/>
      <c r="I65" s="461">
        <f>+ROUND('SP Min'!D155,0)</f>
        <v>650475</v>
      </c>
      <c r="J65" s="461">
        <f>+ROUND('SP Min'!E155,0)</f>
        <v>143388</v>
      </c>
      <c r="K65" s="451">
        <f t="shared" si="5"/>
        <v>507087</v>
      </c>
      <c r="L65" s="457">
        <f t="shared" si="4"/>
        <v>3.5364674868189807</v>
      </c>
      <c r="M65" s="452"/>
      <c r="Q65" s="462"/>
      <c r="R65" s="462"/>
      <c r="S65" s="462"/>
      <c r="T65" s="462"/>
    </row>
    <row r="66" spans="1:20" s="458" customFormat="1" ht="11.25">
      <c r="A66" s="459"/>
      <c r="B66" s="493"/>
      <c r="C66" s="493"/>
      <c r="D66" s="497" t="s">
        <v>3538</v>
      </c>
      <c r="E66" s="497" t="s">
        <v>3594</v>
      </c>
      <c r="F66" s="499"/>
      <c r="G66" s="924">
        <f t="shared" ref="G66:H66" si="12">G67+G68+G69+G70</f>
        <v>0</v>
      </c>
      <c r="H66" s="924">
        <f t="shared" si="12"/>
        <v>5677953</v>
      </c>
      <c r="I66" s="461">
        <f>I67+I68+I69+I70</f>
        <v>5677953</v>
      </c>
      <c r="J66" s="461">
        <f>J67+J68+J69+J70</f>
        <v>7112876</v>
      </c>
      <c r="K66" s="451">
        <f t="shared" si="5"/>
        <v>-1434923</v>
      </c>
      <c r="L66" s="457">
        <f t="shared" si="4"/>
        <v>-0.20173597852682937</v>
      </c>
      <c r="M66" s="452"/>
      <c r="Q66" s="462"/>
      <c r="R66" s="462"/>
      <c r="S66" s="462"/>
      <c r="T66" s="462"/>
    </row>
    <row r="67" spans="1:20" s="458" customFormat="1" ht="11.25">
      <c r="A67" s="459"/>
      <c r="B67" s="493"/>
      <c r="C67" s="493"/>
      <c r="D67" s="493"/>
      <c r="E67" s="493" t="s">
        <v>85</v>
      </c>
      <c r="F67" s="499" t="s">
        <v>3595</v>
      </c>
      <c r="G67" s="496"/>
      <c r="H67" s="501">
        <v>5677953</v>
      </c>
      <c r="I67" s="461">
        <f>+ROUND('SP Min'!D158,0)</f>
        <v>5677953</v>
      </c>
      <c r="J67" s="461">
        <f>+ROUND('SP Min'!E158,0)</f>
        <v>7112876</v>
      </c>
      <c r="K67" s="451">
        <f t="shared" si="5"/>
        <v>-1434923</v>
      </c>
      <c r="L67" s="457">
        <f t="shared" si="4"/>
        <v>-0.20173597852682937</v>
      </c>
      <c r="M67" s="452"/>
      <c r="Q67" s="462"/>
      <c r="R67" s="462"/>
      <c r="S67" s="462"/>
      <c r="T67" s="462"/>
    </row>
    <row r="68" spans="1:20" s="458" customFormat="1" ht="11.25">
      <c r="A68" s="459"/>
      <c r="B68" s="493"/>
      <c r="C68" s="493"/>
      <c r="D68" s="493"/>
      <c r="E68" s="493" t="s">
        <v>87</v>
      </c>
      <c r="F68" s="499" t="s">
        <v>3596</v>
      </c>
      <c r="G68" s="496"/>
      <c r="H68" s="501"/>
      <c r="I68" s="461">
        <f>+ROUND('SP Min'!D159,0)</f>
        <v>0</v>
      </c>
      <c r="J68" s="461">
        <f>+ROUND('SP Min'!E159,0)</f>
        <v>0</v>
      </c>
      <c r="K68" s="451">
        <f t="shared" si="5"/>
        <v>0</v>
      </c>
      <c r="L68" s="457" t="str">
        <f t="shared" si="4"/>
        <v xml:space="preserve">-    </v>
      </c>
      <c r="M68" s="452"/>
      <c r="Q68" s="462"/>
      <c r="R68" s="462"/>
      <c r="S68" s="462"/>
      <c r="T68" s="462"/>
    </row>
    <row r="69" spans="1:20" s="458" customFormat="1" ht="11.25">
      <c r="A69" s="459"/>
      <c r="B69" s="493"/>
      <c r="C69" s="493"/>
      <c r="D69" s="493"/>
      <c r="E69" s="493" t="s">
        <v>115</v>
      </c>
      <c r="F69" s="499" t="s">
        <v>3597</v>
      </c>
      <c r="G69" s="496"/>
      <c r="H69" s="501"/>
      <c r="I69" s="461">
        <f>+ROUND('SP Min'!D160+'SP Min'!D161+'SP Min'!D164+'SP Min'!D165+'SP Min'!D163,0)</f>
        <v>0</v>
      </c>
      <c r="J69" s="461">
        <f>+ROUND('SP Min'!E160+'SP Min'!E161+'SP Min'!E164+'SP Min'!E165+'SP Min'!E163,0)</f>
        <v>0</v>
      </c>
      <c r="K69" s="451">
        <f t="shared" si="5"/>
        <v>0</v>
      </c>
      <c r="L69" s="457" t="str">
        <f t="shared" si="4"/>
        <v xml:space="preserve">-    </v>
      </c>
      <c r="M69" s="452"/>
      <c r="Q69" s="462"/>
      <c r="R69" s="462"/>
      <c r="S69" s="462"/>
      <c r="T69" s="462"/>
    </row>
    <row r="70" spans="1:20" s="458" customFormat="1" ht="33.75">
      <c r="A70" s="459"/>
      <c r="B70" s="491"/>
      <c r="C70" s="493"/>
      <c r="D70" s="491"/>
      <c r="E70" s="493" t="s">
        <v>3530</v>
      </c>
      <c r="F70" s="502" t="s">
        <v>3598</v>
      </c>
      <c r="G70" s="496"/>
      <c r="H70" s="496"/>
      <c r="I70" s="461">
        <f>+ROUND('SP Min'!D163,0)</f>
        <v>0</v>
      </c>
      <c r="J70" s="461">
        <f>+ROUND('SP Min'!E163,0)</f>
        <v>0</v>
      </c>
      <c r="K70" s="451">
        <f t="shared" si="5"/>
        <v>0</v>
      </c>
      <c r="L70" s="457" t="str">
        <f t="shared" si="4"/>
        <v xml:space="preserve">-    </v>
      </c>
      <c r="M70" s="452"/>
      <c r="Q70" s="462"/>
      <c r="R70" s="462"/>
      <c r="S70" s="462"/>
      <c r="T70" s="462"/>
    </row>
    <row r="71" spans="1:20" s="458" customFormat="1" ht="11.25">
      <c r="A71" s="459"/>
      <c r="B71" s="491"/>
      <c r="C71" s="493" t="s">
        <v>115</v>
      </c>
      <c r="D71" s="493" t="s">
        <v>3599</v>
      </c>
      <c r="E71" s="460"/>
      <c r="F71" s="499"/>
      <c r="G71" s="496"/>
      <c r="H71" s="496"/>
      <c r="I71" s="461">
        <f>+ROUND('SP Min'!D166,0)</f>
        <v>0</v>
      </c>
      <c r="J71" s="461">
        <f>+ROUND('SP Min'!E166,0)</f>
        <v>0</v>
      </c>
      <c r="K71" s="451">
        <f t="shared" si="5"/>
        <v>0</v>
      </c>
      <c r="L71" s="457" t="str">
        <f t="shared" si="4"/>
        <v xml:space="preserve">-    </v>
      </c>
      <c r="M71" s="452"/>
      <c r="Q71" s="462"/>
      <c r="R71" s="462"/>
      <c r="S71" s="462"/>
      <c r="T71" s="462"/>
    </row>
    <row r="72" spans="1:20" s="458" customFormat="1" ht="11.25">
      <c r="A72" s="459"/>
      <c r="B72" s="491"/>
      <c r="C72" s="493" t="s">
        <v>3530</v>
      </c>
      <c r="D72" s="493" t="s">
        <v>3600</v>
      </c>
      <c r="E72" s="493"/>
      <c r="F72" s="499"/>
      <c r="G72" s="924">
        <f t="shared" ref="G72:H72" si="13">G73+G74</f>
        <v>3484388</v>
      </c>
      <c r="H72" s="924">
        <f t="shared" si="13"/>
        <v>0</v>
      </c>
      <c r="I72" s="461">
        <f>I73+I74</f>
        <v>3484388</v>
      </c>
      <c r="J72" s="461">
        <f>J73+J74</f>
        <v>8441363</v>
      </c>
      <c r="K72" s="451">
        <f t="shared" si="5"/>
        <v>-4956975</v>
      </c>
      <c r="L72" s="457">
        <f t="shared" si="4"/>
        <v>-0.58722448021723506</v>
      </c>
      <c r="M72" s="452"/>
      <c r="Q72" s="462"/>
      <c r="R72" s="462"/>
      <c r="S72" s="462"/>
      <c r="T72" s="462"/>
    </row>
    <row r="73" spans="1:20" s="458" customFormat="1" ht="11.25">
      <c r="A73" s="459"/>
      <c r="B73" s="491"/>
      <c r="C73" s="493"/>
      <c r="D73" s="497" t="s">
        <v>3536</v>
      </c>
      <c r="E73" s="497" t="s">
        <v>3601</v>
      </c>
      <c r="F73" s="499"/>
      <c r="G73" s="496">
        <v>3000350</v>
      </c>
      <c r="H73" s="496"/>
      <c r="I73" s="461">
        <f>+ROUND('SP Min'!D168+'SP Min'!D172+'SP Min'!D173+'SP Min'!D175,0)</f>
        <v>3000350</v>
      </c>
      <c r="J73" s="461">
        <f>+ROUND('SP Min'!E168+'SP Min'!E172+'SP Min'!E173+'SP Min'!E175,0)</f>
        <v>7918456</v>
      </c>
      <c r="K73" s="451">
        <f t="shared" si="5"/>
        <v>-4918106</v>
      </c>
      <c r="L73" s="457">
        <f t="shared" si="4"/>
        <v>-0.62109406177163828</v>
      </c>
      <c r="M73" s="452"/>
      <c r="Q73" s="462"/>
      <c r="R73" s="462"/>
      <c r="S73" s="462"/>
      <c r="T73" s="462"/>
    </row>
    <row r="74" spans="1:20" s="458" customFormat="1" ht="11.25">
      <c r="A74" s="459"/>
      <c r="B74" s="491"/>
      <c r="C74" s="493"/>
      <c r="D74" s="497" t="s">
        <v>3538</v>
      </c>
      <c r="E74" s="497" t="s">
        <v>3602</v>
      </c>
      <c r="F74" s="499"/>
      <c r="G74" s="496">
        <v>484038</v>
      </c>
      <c r="H74" s="496"/>
      <c r="I74" s="461">
        <f>+ROUND('SP Min'!D174,0)</f>
        <v>484038</v>
      </c>
      <c r="J74" s="461">
        <f>+ROUND('SP Min'!E174,0)</f>
        <v>522907</v>
      </c>
      <c r="K74" s="451">
        <f t="shared" si="5"/>
        <v>-38869</v>
      </c>
      <c r="L74" s="457">
        <f t="shared" si="4"/>
        <v>-7.4332529493772309E-2</v>
      </c>
      <c r="M74" s="452"/>
      <c r="Q74" s="462"/>
      <c r="R74" s="462"/>
      <c r="S74" s="462"/>
      <c r="T74" s="462"/>
    </row>
    <row r="75" spans="1:20" s="458" customFormat="1" ht="11.25">
      <c r="A75" s="459"/>
      <c r="B75" s="491"/>
      <c r="C75" s="493" t="s">
        <v>3532</v>
      </c>
      <c r="D75" s="493" t="s">
        <v>3603</v>
      </c>
      <c r="E75" s="493"/>
      <c r="F75" s="499"/>
      <c r="G75" s="496"/>
      <c r="H75" s="496"/>
      <c r="I75" s="461">
        <f>+ROUND('SP Min'!D176,0)</f>
        <v>0</v>
      </c>
      <c r="J75" s="461">
        <f>+ROUND('SP Min'!E176,0)</f>
        <v>0</v>
      </c>
      <c r="K75" s="451">
        <f t="shared" si="5"/>
        <v>0</v>
      </c>
      <c r="L75" s="457" t="str">
        <f t="shared" si="4"/>
        <v xml:space="preserve">-    </v>
      </c>
      <c r="M75" s="452"/>
      <c r="Q75" s="462"/>
      <c r="R75" s="462"/>
      <c r="S75" s="462"/>
      <c r="T75" s="462"/>
    </row>
    <row r="76" spans="1:20" s="458" customFormat="1" ht="11.25">
      <c r="A76" s="459"/>
      <c r="B76" s="491"/>
      <c r="C76" s="493" t="s">
        <v>3546</v>
      </c>
      <c r="D76" s="493" t="s">
        <v>3604</v>
      </c>
      <c r="E76" s="493"/>
      <c r="F76" s="499"/>
      <c r="G76" s="496"/>
      <c r="H76" s="496"/>
      <c r="I76" s="503">
        <f>+ROUND('SP Min'!D180,0)</f>
        <v>0</v>
      </c>
      <c r="J76" s="503">
        <f>+ROUND('SP Min'!E180,0)</f>
        <v>0</v>
      </c>
      <c r="K76" s="451">
        <f t="shared" si="5"/>
        <v>0</v>
      </c>
      <c r="L76" s="457" t="str">
        <f t="shared" si="4"/>
        <v xml:space="preserve">-    </v>
      </c>
      <c r="M76" s="452"/>
      <c r="Q76" s="462"/>
      <c r="R76" s="462"/>
      <c r="S76" s="462"/>
      <c r="T76" s="462"/>
    </row>
    <row r="77" spans="1:20" s="458" customFormat="1" ht="11.25">
      <c r="A77" s="459"/>
      <c r="B77" s="491"/>
      <c r="C77" s="493" t="s">
        <v>3548</v>
      </c>
      <c r="D77" s="493" t="s">
        <v>3605</v>
      </c>
      <c r="E77" s="493"/>
      <c r="F77" s="499"/>
      <c r="G77" s="504">
        <v>1323309</v>
      </c>
      <c r="H77" s="504">
        <v>972519</v>
      </c>
      <c r="I77" s="461">
        <f>+ROUND('SP Min'!D181,0)</f>
        <v>2295829</v>
      </c>
      <c r="J77" s="503">
        <f>+ROUND('SP Min'!E181,0)</f>
        <v>1537770</v>
      </c>
      <c r="K77" s="451">
        <f t="shared" si="5"/>
        <v>758059</v>
      </c>
      <c r="L77" s="457">
        <f t="shared" si="4"/>
        <v>0.4929599354910032</v>
      </c>
      <c r="M77" s="452"/>
      <c r="Q77" s="462"/>
      <c r="R77" s="462"/>
      <c r="S77" s="462"/>
      <c r="T77" s="462"/>
    </row>
    <row r="78" spans="1:20" s="447" customFormat="1" ht="11.25">
      <c r="A78" s="489"/>
      <c r="B78" s="491" t="s">
        <v>124</v>
      </c>
      <c r="C78" s="505" t="s">
        <v>3606</v>
      </c>
      <c r="D78" s="491"/>
      <c r="E78" s="491"/>
      <c r="F78" s="505"/>
      <c r="G78" s="491"/>
      <c r="H78" s="491"/>
      <c r="I78" s="506">
        <f>SUM(I79:I80)</f>
        <v>0</v>
      </c>
      <c r="J78" s="506">
        <f>SUM(J79:J80)</f>
        <v>0</v>
      </c>
      <c r="K78" s="451">
        <f t="shared" si="5"/>
        <v>0</v>
      </c>
      <c r="L78" s="446" t="str">
        <f t="shared" si="4"/>
        <v xml:space="preserve">-    </v>
      </c>
      <c r="M78" s="452"/>
      <c r="Q78" s="464"/>
      <c r="R78" s="464"/>
      <c r="S78" s="464"/>
      <c r="T78" s="464"/>
    </row>
    <row r="79" spans="1:20" s="458" customFormat="1" ht="11.25">
      <c r="A79" s="459"/>
      <c r="B79" s="491"/>
      <c r="C79" s="493" t="s">
        <v>85</v>
      </c>
      <c r="D79" s="493" t="s">
        <v>3607</v>
      </c>
      <c r="E79" s="491"/>
      <c r="F79" s="460"/>
      <c r="G79" s="493"/>
      <c r="H79" s="493"/>
      <c r="I79" s="503">
        <f>+ROUND('SP Min'!D193,0)</f>
        <v>0</v>
      </c>
      <c r="J79" s="503">
        <f>+ROUND('SP Min'!E193,0)</f>
        <v>0</v>
      </c>
      <c r="K79" s="451">
        <f t="shared" si="5"/>
        <v>0</v>
      </c>
      <c r="L79" s="457" t="str">
        <f t="shared" si="4"/>
        <v xml:space="preserve">-    </v>
      </c>
      <c r="M79" s="452"/>
      <c r="Q79" s="462"/>
      <c r="R79" s="462"/>
      <c r="S79" s="462"/>
      <c r="T79" s="462"/>
    </row>
    <row r="80" spans="1:20" s="458" customFormat="1" ht="11.25">
      <c r="A80" s="489"/>
      <c r="B80" s="491"/>
      <c r="C80" s="493" t="s">
        <v>87</v>
      </c>
      <c r="D80" s="493" t="s">
        <v>3608</v>
      </c>
      <c r="E80" s="491"/>
      <c r="F80" s="507"/>
      <c r="G80" s="493"/>
      <c r="H80" s="493"/>
      <c r="I80" s="503">
        <f>+ROUND('SP Min'!D194,0)</f>
        <v>0</v>
      </c>
      <c r="J80" s="503">
        <f>+ROUND('SP Min'!E194,0)</f>
        <v>0</v>
      </c>
      <c r="K80" s="451">
        <f t="shared" si="5"/>
        <v>0</v>
      </c>
      <c r="L80" s="457" t="str">
        <f t="shared" si="4"/>
        <v xml:space="preserve">-    </v>
      </c>
      <c r="M80" s="452"/>
      <c r="Q80" s="462"/>
      <c r="R80" s="462"/>
      <c r="S80" s="462"/>
      <c r="T80" s="462"/>
    </row>
    <row r="81" spans="1:20" s="447" customFormat="1" ht="11.25">
      <c r="A81" s="448"/>
      <c r="B81" s="491" t="s">
        <v>125</v>
      </c>
      <c r="C81" s="505" t="s">
        <v>3609</v>
      </c>
      <c r="D81" s="491"/>
      <c r="E81" s="491"/>
      <c r="F81" s="441"/>
      <c r="G81" s="491"/>
      <c r="H81" s="491"/>
      <c r="I81" s="508">
        <f>SUM(I82:I85)</f>
        <v>30670373.399999999</v>
      </c>
      <c r="J81" s="509">
        <f>SUM(J82:J85)</f>
        <v>38840195</v>
      </c>
      <c r="K81" s="451">
        <f t="shared" si="5"/>
        <v>-8169821.6000000015</v>
      </c>
      <c r="L81" s="446">
        <f t="shared" si="4"/>
        <v>-0.21034450522197434</v>
      </c>
      <c r="M81" s="452"/>
      <c r="Q81" s="464"/>
      <c r="R81" s="464"/>
      <c r="S81" s="464"/>
      <c r="T81" s="464"/>
    </row>
    <row r="82" spans="1:20" s="458" customFormat="1" ht="11.25">
      <c r="A82" s="489"/>
      <c r="B82" s="491"/>
      <c r="C82" s="491" t="s">
        <v>85</v>
      </c>
      <c r="D82" s="499" t="s">
        <v>3610</v>
      </c>
      <c r="E82" s="491"/>
      <c r="F82" s="499"/>
      <c r="G82" s="493"/>
      <c r="H82" s="493"/>
      <c r="I82" s="461">
        <f>+ROUND('SP Min'!D196,0)</f>
        <v>42586</v>
      </c>
      <c r="J82" s="503">
        <f>+ROUND('SP Min'!E196,0)</f>
        <v>44851</v>
      </c>
      <c r="K82" s="451">
        <f t="shared" si="5"/>
        <v>-2265</v>
      </c>
      <c r="L82" s="457">
        <f t="shared" si="4"/>
        <v>-5.0500546253149314E-2</v>
      </c>
      <c r="M82" s="452"/>
      <c r="Q82" s="462"/>
      <c r="R82" s="462"/>
      <c r="S82" s="462"/>
      <c r="T82" s="462"/>
    </row>
    <row r="83" spans="1:20" s="458" customFormat="1" ht="11.25">
      <c r="A83" s="459"/>
      <c r="B83" s="491"/>
      <c r="C83" s="491" t="s">
        <v>87</v>
      </c>
      <c r="D83" s="499" t="s">
        <v>3611</v>
      </c>
      <c r="E83" s="491"/>
      <c r="F83" s="460"/>
      <c r="G83" s="493"/>
      <c r="H83" s="510"/>
      <c r="I83" s="461">
        <f>+ROUND('SP Min'!D197,0)+0.4</f>
        <v>30625663.399999999</v>
      </c>
      <c r="J83" s="503">
        <f>+ROUND('SP Min'!E197,0)</f>
        <v>38793885</v>
      </c>
      <c r="K83" s="451">
        <f t="shared" si="5"/>
        <v>-8168221.6000000015</v>
      </c>
      <c r="L83" s="457">
        <f t="shared" si="4"/>
        <v>-0.21055435927595292</v>
      </c>
      <c r="M83" s="452"/>
      <c r="Q83" s="462"/>
      <c r="R83" s="462"/>
      <c r="S83" s="462"/>
      <c r="T83" s="462"/>
    </row>
    <row r="84" spans="1:20" s="458" customFormat="1" ht="11.25">
      <c r="A84" s="459"/>
      <c r="B84" s="491"/>
      <c r="C84" s="491" t="s">
        <v>115</v>
      </c>
      <c r="D84" s="499" t="s">
        <v>3612</v>
      </c>
      <c r="E84" s="491"/>
      <c r="F84" s="460"/>
      <c r="G84" s="493"/>
      <c r="H84" s="493"/>
      <c r="I84" s="461">
        <f>+ROUND('SP Min'!D198,0)</f>
        <v>0</v>
      </c>
      <c r="J84" s="503">
        <f>+ROUND('SP Min'!E198,0)</f>
        <v>0</v>
      </c>
      <c r="K84" s="451">
        <f t="shared" si="5"/>
        <v>0</v>
      </c>
      <c r="L84" s="457" t="str">
        <f t="shared" si="4"/>
        <v xml:space="preserve">-    </v>
      </c>
      <c r="M84" s="452"/>
      <c r="Q84" s="462"/>
      <c r="R84" s="462"/>
      <c r="S84" s="462"/>
      <c r="T84" s="462"/>
    </row>
    <row r="85" spans="1:20" s="458" customFormat="1" ht="11.25">
      <c r="A85" s="459"/>
      <c r="B85" s="491"/>
      <c r="C85" s="491" t="s">
        <v>3530</v>
      </c>
      <c r="D85" s="499" t="s">
        <v>3613</v>
      </c>
      <c r="E85" s="491"/>
      <c r="F85" s="460"/>
      <c r="G85" s="493"/>
      <c r="H85" s="493"/>
      <c r="I85" s="461">
        <f>+ROUND('SP Min'!D199,0)</f>
        <v>2124</v>
      </c>
      <c r="J85" s="503">
        <f>+ROUND('SP Min'!E199,0)</f>
        <v>1459</v>
      </c>
      <c r="K85" s="451">
        <f t="shared" si="5"/>
        <v>665</v>
      </c>
      <c r="L85" s="457">
        <f t="shared" si="4"/>
        <v>0.45579163810829337</v>
      </c>
      <c r="M85" s="452"/>
      <c r="Q85" s="462"/>
      <c r="R85" s="462"/>
      <c r="S85" s="462"/>
      <c r="T85" s="462"/>
    </row>
    <row r="86" spans="1:20" s="447" customFormat="1" ht="11.25">
      <c r="A86" s="1028" t="s">
        <v>3614</v>
      </c>
      <c r="B86" s="1029"/>
      <c r="C86" s="1029"/>
      <c r="D86" s="1029"/>
      <c r="E86" s="1029"/>
      <c r="F86" s="1029"/>
      <c r="G86" s="1042"/>
      <c r="H86" s="1029"/>
      <c r="I86" s="483">
        <f>I40+I46+I78+I81</f>
        <v>67291034.400000006</v>
      </c>
      <c r="J86" s="483">
        <f>J40+J46+J78+J81</f>
        <v>77455457</v>
      </c>
      <c r="K86" s="485">
        <f t="shared" si="5"/>
        <v>-10164422.599999994</v>
      </c>
      <c r="L86" s="173">
        <f>IF(J86=0,"-    ",K86/J86)</f>
        <v>-0.1312292638077133</v>
      </c>
      <c r="M86" s="452"/>
      <c r="Q86" s="464"/>
      <c r="R86" s="464"/>
      <c r="S86" s="464"/>
      <c r="T86" s="464"/>
    </row>
    <row r="87" spans="1:20" s="447" customFormat="1" ht="11.25">
      <c r="A87" s="489" t="s">
        <v>83</v>
      </c>
      <c r="B87" s="490" t="s">
        <v>3615</v>
      </c>
      <c r="C87" s="491"/>
      <c r="D87" s="491"/>
      <c r="E87" s="491"/>
      <c r="F87" s="441"/>
      <c r="G87" s="511"/>
      <c r="H87" s="512"/>
      <c r="I87" s="513"/>
      <c r="J87" s="513"/>
      <c r="K87" s="451">
        <f t="shared" si="5"/>
        <v>0</v>
      </c>
      <c r="L87" s="457" t="str">
        <f t="shared" ref="L87" si="14">IF(J87=0,"-    ",K87/K87)</f>
        <v xml:space="preserve">-    </v>
      </c>
      <c r="M87" s="452"/>
      <c r="Q87" s="464"/>
      <c r="R87" s="464"/>
      <c r="S87" s="464"/>
      <c r="T87" s="464"/>
    </row>
    <row r="88" spans="1:20" s="447" customFormat="1" ht="11.25">
      <c r="A88" s="489"/>
      <c r="B88" s="491" t="s">
        <v>122</v>
      </c>
      <c r="C88" s="490" t="s">
        <v>3616</v>
      </c>
      <c r="D88" s="491"/>
      <c r="E88" s="491"/>
      <c r="F88" s="505"/>
      <c r="G88" s="491"/>
      <c r="H88" s="512"/>
      <c r="I88" s="503">
        <f>+ROUND('SP Min'!D201,0)</f>
        <v>58752</v>
      </c>
      <c r="J88" s="503">
        <f>+ROUND('SP Min'!E201,0)</f>
        <v>19280</v>
      </c>
      <c r="K88" s="451">
        <f t="shared" si="5"/>
        <v>39472</v>
      </c>
      <c r="L88" s="457">
        <f t="shared" si="4"/>
        <v>2.0473029045643152</v>
      </c>
      <c r="M88" s="452"/>
      <c r="Q88" s="464"/>
      <c r="R88" s="464"/>
      <c r="S88" s="464"/>
      <c r="T88" s="464"/>
    </row>
    <row r="89" spans="1:20" s="447" customFormat="1" ht="11.25">
      <c r="A89" s="489"/>
      <c r="B89" s="491" t="s">
        <v>123</v>
      </c>
      <c r="C89" s="490" t="s">
        <v>3617</v>
      </c>
      <c r="D89" s="491"/>
      <c r="E89" s="491"/>
      <c r="F89" s="441"/>
      <c r="G89" s="514"/>
      <c r="H89" s="512"/>
      <c r="I89" s="503">
        <f>+ROUND('SP Min'!D204,0)</f>
        <v>9592</v>
      </c>
      <c r="J89" s="503">
        <f>+ROUND('SP Min'!E204,0)</f>
        <v>27892</v>
      </c>
      <c r="K89" s="451">
        <f t="shared" si="5"/>
        <v>-18300</v>
      </c>
      <c r="L89" s="457">
        <f t="shared" si="4"/>
        <v>-0.65610210813136383</v>
      </c>
      <c r="M89" s="452"/>
      <c r="Q89" s="464"/>
      <c r="R89" s="464"/>
      <c r="S89" s="464"/>
      <c r="T89" s="464"/>
    </row>
    <row r="90" spans="1:20" s="447" customFormat="1" ht="11.25">
      <c r="A90" s="1028" t="s">
        <v>3618</v>
      </c>
      <c r="B90" s="1029"/>
      <c r="C90" s="1029"/>
      <c r="D90" s="1029"/>
      <c r="E90" s="1029"/>
      <c r="F90" s="1029"/>
      <c r="G90" s="1031"/>
      <c r="H90" s="1029"/>
      <c r="I90" s="483">
        <f>SUM(I88:I89)</f>
        <v>68344</v>
      </c>
      <c r="J90" s="483">
        <f>SUM(J88:J89)</f>
        <v>47172</v>
      </c>
      <c r="K90" s="485">
        <f t="shared" si="5"/>
        <v>21172</v>
      </c>
      <c r="L90" s="173">
        <f t="shared" si="4"/>
        <v>0.44882557449334348</v>
      </c>
      <c r="M90" s="452"/>
      <c r="Q90" s="464"/>
      <c r="R90" s="464"/>
      <c r="S90" s="464"/>
      <c r="T90" s="464"/>
    </row>
    <row r="91" spans="1:20" s="447" customFormat="1" ht="5.45" customHeight="1" thickBot="1">
      <c r="A91" s="515"/>
      <c r="B91" s="505"/>
      <c r="C91" s="505"/>
      <c r="D91" s="505"/>
      <c r="E91" s="505"/>
      <c r="F91" s="505"/>
      <c r="G91" s="505"/>
      <c r="H91" s="505"/>
      <c r="I91" s="516"/>
      <c r="J91" s="516"/>
      <c r="K91" s="517"/>
      <c r="L91" s="457"/>
      <c r="M91" s="452"/>
      <c r="Q91" s="464"/>
      <c r="R91" s="464"/>
      <c r="S91" s="464"/>
      <c r="T91" s="464"/>
    </row>
    <row r="92" spans="1:20" s="447" customFormat="1" ht="12" thickBot="1">
      <c r="A92" s="1009" t="s">
        <v>3619</v>
      </c>
      <c r="B92" s="1010"/>
      <c r="C92" s="1010"/>
      <c r="D92" s="1010"/>
      <c r="E92" s="1010"/>
      <c r="F92" s="1010"/>
      <c r="G92" s="1010"/>
      <c r="H92" s="1010"/>
      <c r="I92" s="518">
        <f>I37+I86+I90+1</f>
        <v>103726944.40000001</v>
      </c>
      <c r="J92" s="518">
        <f>J37+J86+J90</f>
        <v>113602319</v>
      </c>
      <c r="K92" s="519">
        <f>+I92-J92</f>
        <v>-9875374.599999994</v>
      </c>
      <c r="L92" s="174">
        <f t="shared" si="4"/>
        <v>-8.6929339884338042E-2</v>
      </c>
      <c r="M92" s="452"/>
      <c r="N92" s="452"/>
      <c r="Q92" s="464"/>
      <c r="R92" s="464"/>
      <c r="S92" s="464"/>
      <c r="T92" s="464"/>
    </row>
    <row r="93" spans="1:20" s="447" customFormat="1" ht="11.25">
      <c r="A93" s="489" t="s">
        <v>91</v>
      </c>
      <c r="B93" s="490" t="s">
        <v>3620</v>
      </c>
      <c r="C93" s="491"/>
      <c r="D93" s="491"/>
      <c r="E93" s="491"/>
      <c r="F93" s="441"/>
      <c r="G93" s="491"/>
      <c r="H93" s="512"/>
      <c r="I93" s="513"/>
      <c r="J93" s="513"/>
      <c r="K93" s="517"/>
      <c r="L93" s="457"/>
      <c r="M93" s="452"/>
      <c r="Q93" s="464"/>
      <c r="R93" s="464"/>
      <c r="S93" s="464"/>
      <c r="T93" s="464"/>
    </row>
    <row r="94" spans="1:20" s="447" customFormat="1" ht="11.25">
      <c r="A94" s="489"/>
      <c r="B94" s="493" t="s">
        <v>3621</v>
      </c>
      <c r="C94" s="520" t="s">
        <v>3622</v>
      </c>
      <c r="D94" s="493"/>
      <c r="E94" s="493"/>
      <c r="F94" s="499"/>
      <c r="G94" s="491"/>
      <c r="H94" s="512"/>
      <c r="I94" s="503">
        <f>+ROUND('SP Min'!D209,0)</f>
        <v>22160</v>
      </c>
      <c r="J94" s="503">
        <f>+ROUND('SP Min'!E209,0)</f>
        <v>66479</v>
      </c>
      <c r="K94" s="451">
        <f>+I94-J94</f>
        <v>-44319</v>
      </c>
      <c r="L94" s="446">
        <f t="shared" si="4"/>
        <v>-0.66666165255193366</v>
      </c>
      <c r="M94" s="452"/>
      <c r="Q94" s="464"/>
      <c r="R94" s="464"/>
      <c r="S94" s="464"/>
      <c r="T94" s="464"/>
    </row>
    <row r="95" spans="1:20" s="447" customFormat="1" ht="11.25">
      <c r="A95" s="489"/>
      <c r="B95" s="493" t="s">
        <v>87</v>
      </c>
      <c r="C95" s="499" t="s">
        <v>3623</v>
      </c>
      <c r="D95" s="493"/>
      <c r="E95" s="493"/>
      <c r="F95" s="460"/>
      <c r="G95" s="491"/>
      <c r="H95" s="512"/>
      <c r="I95" s="503">
        <f>+ROUND('SP Min'!D210,0)</f>
        <v>0</v>
      </c>
      <c r="J95" s="503">
        <f>+ROUND('SP Min'!E210,0)</f>
        <v>0</v>
      </c>
      <c r="K95" s="451">
        <f t="shared" ref="K95:K98" si="15">+I95-J95</f>
        <v>0</v>
      </c>
      <c r="L95" s="446" t="str">
        <f t="shared" si="4"/>
        <v xml:space="preserve">-    </v>
      </c>
      <c r="M95" s="452"/>
      <c r="Q95" s="464"/>
      <c r="R95" s="464"/>
      <c r="S95" s="464"/>
      <c r="T95" s="464"/>
    </row>
    <row r="96" spans="1:20" s="447" customFormat="1" ht="11.25">
      <c r="A96" s="489"/>
      <c r="B96" s="499" t="s">
        <v>115</v>
      </c>
      <c r="C96" s="493" t="s">
        <v>3624</v>
      </c>
      <c r="D96" s="493"/>
      <c r="E96" s="493"/>
      <c r="F96" s="460"/>
      <c r="G96" s="491"/>
      <c r="H96" s="512"/>
      <c r="I96" s="503">
        <f>+ROUND('SP Min'!D211,0)</f>
        <v>1463350</v>
      </c>
      <c r="J96" s="503">
        <f>+ROUND('SP Min'!E211,0)</f>
        <v>1463350</v>
      </c>
      <c r="K96" s="451">
        <f t="shared" si="15"/>
        <v>0</v>
      </c>
      <c r="L96" s="446">
        <f t="shared" si="4"/>
        <v>0</v>
      </c>
      <c r="M96" s="452"/>
      <c r="Q96" s="464"/>
      <c r="R96" s="464"/>
      <c r="S96" s="464"/>
      <c r="T96" s="464"/>
    </row>
    <row r="97" spans="1:20" s="447" customFormat="1" ht="11.25">
      <c r="A97" s="489"/>
      <c r="B97" s="493" t="s">
        <v>3530</v>
      </c>
      <c r="C97" s="520" t="s">
        <v>3625</v>
      </c>
      <c r="D97" s="493"/>
      <c r="E97" s="493"/>
      <c r="F97" s="499"/>
      <c r="G97" s="514"/>
      <c r="H97" s="512"/>
      <c r="I97" s="503">
        <f>+ROUND('SP Min'!D212+'SP Min'!D213,0)</f>
        <v>1277134</v>
      </c>
      <c r="J97" s="503">
        <f>+ROUND('SP Min'!E212+'SP Min'!E213,0)</f>
        <v>1277134</v>
      </c>
      <c r="K97" s="451">
        <f t="shared" si="15"/>
        <v>0</v>
      </c>
      <c r="L97" s="446">
        <f t="shared" si="4"/>
        <v>0</v>
      </c>
      <c r="M97" s="452"/>
      <c r="Q97" s="464"/>
      <c r="R97" s="464"/>
      <c r="S97" s="464"/>
      <c r="T97" s="464"/>
    </row>
    <row r="98" spans="1:20" s="447" customFormat="1" ht="12" thickBot="1">
      <c r="A98" s="998" t="s">
        <v>3626</v>
      </c>
      <c r="B98" s="999"/>
      <c r="C98" s="999"/>
      <c r="D98" s="999"/>
      <c r="E98" s="999"/>
      <c r="F98" s="999"/>
      <c r="G98" s="1000"/>
      <c r="H98" s="1001"/>
      <c r="I98" s="521">
        <f>SUM(I94:I97)</f>
        <v>2762644</v>
      </c>
      <c r="J98" s="521">
        <f>SUM(J94:J97)</f>
        <v>2806963</v>
      </c>
      <c r="K98" s="522">
        <f t="shared" si="15"/>
        <v>-44319</v>
      </c>
      <c r="L98" s="523">
        <f t="shared" si="4"/>
        <v>-1.5788950549045357E-2</v>
      </c>
      <c r="M98" s="452"/>
      <c r="N98" s="452"/>
      <c r="Q98" s="464"/>
      <c r="R98" s="464"/>
      <c r="S98" s="464"/>
      <c r="T98" s="464"/>
    </row>
    <row r="99" spans="1:20" s="458" customFormat="1" ht="11.25">
      <c r="A99" s="449"/>
      <c r="B99" s="449"/>
      <c r="C99" s="449"/>
      <c r="D99" s="449"/>
      <c r="E99" s="449"/>
      <c r="F99" s="449"/>
      <c r="G99" s="449"/>
      <c r="H99" s="449"/>
      <c r="I99" s="524"/>
      <c r="J99" s="525"/>
      <c r="K99" s="194"/>
      <c r="L99" s="526"/>
      <c r="M99" s="452"/>
      <c r="Q99" s="462"/>
      <c r="R99" s="462"/>
      <c r="S99" s="462"/>
      <c r="T99" s="462"/>
    </row>
    <row r="100" spans="1:20" s="458" customFormat="1" ht="12" thickBot="1">
      <c r="A100" s="527"/>
      <c r="B100" s="527"/>
      <c r="C100" s="527"/>
      <c r="D100" s="527"/>
      <c r="E100" s="527"/>
      <c r="F100" s="495"/>
      <c r="G100" s="528"/>
      <c r="H100" s="528"/>
      <c r="I100" s="424"/>
      <c r="J100" s="424"/>
      <c r="K100" s="528"/>
      <c r="L100" s="529"/>
      <c r="M100" s="452"/>
      <c r="Q100" s="462"/>
      <c r="R100" s="462"/>
      <c r="S100" s="462"/>
      <c r="T100" s="462"/>
    </row>
    <row r="101" spans="1:20" ht="32.25" customHeight="1" thickBot="1">
      <c r="A101" s="1012" t="s">
        <v>3627</v>
      </c>
      <c r="B101" s="1013"/>
      <c r="C101" s="1013"/>
      <c r="D101" s="1013"/>
      <c r="E101" s="1013"/>
      <c r="F101" s="1013"/>
      <c r="G101" s="1013"/>
      <c r="H101" s="1013"/>
      <c r="I101" s="1013"/>
      <c r="J101" s="1013"/>
      <c r="K101" s="1014" t="s">
        <v>3628</v>
      </c>
      <c r="L101" s="1015"/>
      <c r="M101" s="452"/>
    </row>
    <row r="102" spans="1:20" ht="13.5" thickBot="1">
      <c r="A102" s="530"/>
      <c r="B102" s="530"/>
      <c r="C102" s="530"/>
      <c r="D102" s="530"/>
      <c r="E102" s="530"/>
      <c r="F102" s="531"/>
      <c r="G102" s="528"/>
      <c r="H102" s="528"/>
      <c r="I102" s="424"/>
      <c r="J102" s="425"/>
      <c r="K102" s="426"/>
      <c r="L102" s="427"/>
      <c r="M102" s="452"/>
    </row>
    <row r="103" spans="1:20" ht="13.35" customHeight="1">
      <c r="A103" s="1016" t="s">
        <v>2104</v>
      </c>
      <c r="B103" s="1017"/>
      <c r="C103" s="1017"/>
      <c r="D103" s="1017"/>
      <c r="E103" s="1017"/>
      <c r="F103" s="1017"/>
      <c r="G103" s="1017"/>
      <c r="H103" s="1017"/>
      <c r="I103" s="1021" t="s">
        <v>4873</v>
      </c>
      <c r="J103" s="1021" t="s">
        <v>4863</v>
      </c>
      <c r="K103" s="1023" t="s">
        <v>4875</v>
      </c>
      <c r="L103" s="1024"/>
      <c r="M103" s="452"/>
    </row>
    <row r="104" spans="1:20" ht="39.75" customHeight="1">
      <c r="A104" s="1018"/>
      <c r="B104" s="1019"/>
      <c r="C104" s="1019"/>
      <c r="D104" s="1019"/>
      <c r="E104" s="1019"/>
      <c r="F104" s="1019"/>
      <c r="G104" s="1020"/>
      <c r="H104" s="1019"/>
      <c r="I104" s="1022"/>
      <c r="J104" s="1022"/>
      <c r="K104" s="428" t="s">
        <v>1</v>
      </c>
      <c r="L104" s="429" t="s">
        <v>2</v>
      </c>
      <c r="M104" s="452"/>
    </row>
    <row r="105" spans="1:20" s="458" customFormat="1" ht="11.25">
      <c r="A105" s="532"/>
      <c r="B105" s="533"/>
      <c r="C105" s="533"/>
      <c r="D105" s="533"/>
      <c r="E105" s="533"/>
      <c r="F105" s="534"/>
      <c r="G105" s="535"/>
      <c r="H105" s="536"/>
      <c r="I105" s="537"/>
      <c r="J105" s="538"/>
      <c r="K105" s="539"/>
      <c r="L105" s="540"/>
      <c r="M105" s="452"/>
      <c r="Q105" s="462"/>
      <c r="R105" s="462"/>
      <c r="S105" s="462"/>
      <c r="T105" s="462"/>
    </row>
    <row r="106" spans="1:20" s="447" customFormat="1" ht="11.25">
      <c r="A106" s="438" t="s">
        <v>3</v>
      </c>
      <c r="B106" s="195" t="s">
        <v>3629</v>
      </c>
      <c r="C106" s="440"/>
      <c r="D106" s="440"/>
      <c r="E106" s="440"/>
      <c r="F106" s="441"/>
      <c r="G106" s="442"/>
      <c r="H106" s="200"/>
      <c r="I106" s="541"/>
      <c r="J106" s="506"/>
      <c r="K106" s="201"/>
      <c r="L106" s="542"/>
      <c r="M106" s="452"/>
      <c r="Q106" s="464"/>
      <c r="R106" s="464"/>
      <c r="S106" s="464"/>
      <c r="T106" s="464"/>
    </row>
    <row r="107" spans="1:20" s="447" customFormat="1" ht="11.25">
      <c r="A107" s="438"/>
      <c r="B107" s="440"/>
      <c r="C107" s="440"/>
      <c r="D107" s="440"/>
      <c r="E107" s="440"/>
      <c r="F107" s="449"/>
      <c r="G107" s="442"/>
      <c r="H107" s="200"/>
      <c r="I107" s="541"/>
      <c r="J107" s="506"/>
      <c r="K107" s="451"/>
      <c r="L107" s="542"/>
      <c r="M107" s="452"/>
      <c r="Q107" s="464"/>
      <c r="R107" s="464"/>
      <c r="S107" s="464"/>
      <c r="T107" s="464"/>
    </row>
    <row r="108" spans="1:20" s="447" customFormat="1" ht="11.25">
      <c r="A108" s="448"/>
      <c r="B108" s="440" t="s">
        <v>122</v>
      </c>
      <c r="C108" s="449" t="s">
        <v>3630</v>
      </c>
      <c r="D108" s="440"/>
      <c r="E108" s="440"/>
      <c r="F108" s="441"/>
      <c r="G108" s="442"/>
      <c r="H108" s="200"/>
      <c r="I108" s="506">
        <f>+ROUND('SP Min'!D215,0)</f>
        <v>308581</v>
      </c>
      <c r="J108" s="506">
        <f>+ROUND('SP Min'!E215,0)</f>
        <v>308581</v>
      </c>
      <c r="K108" s="517">
        <f>+I108-J108</f>
        <v>0</v>
      </c>
      <c r="L108" s="457">
        <f t="shared" ref="L108:L167" si="16">IF(J108=0,"-    ",K108/J108)</f>
        <v>0</v>
      </c>
      <c r="M108" s="452"/>
      <c r="N108" s="543"/>
      <c r="Q108" s="464"/>
      <c r="R108" s="464"/>
      <c r="S108" s="464"/>
      <c r="T108" s="464"/>
    </row>
    <row r="109" spans="1:20" s="447" customFormat="1" ht="11.25">
      <c r="A109" s="448"/>
      <c r="B109" s="440" t="s">
        <v>123</v>
      </c>
      <c r="C109" s="544" t="s">
        <v>3631</v>
      </c>
      <c r="D109" s="440"/>
      <c r="E109" s="440"/>
      <c r="F109" s="545"/>
      <c r="G109" s="442"/>
      <c r="H109" s="200"/>
      <c r="I109" s="450">
        <f>I110+I111+SUM(I115:I117)</f>
        <v>52390027</v>
      </c>
      <c r="J109" s="506">
        <f>J110+J111+SUM(J115:J117)</f>
        <v>55126656</v>
      </c>
      <c r="K109" s="517">
        <f>+I109-J109</f>
        <v>-2736629</v>
      </c>
      <c r="L109" s="457">
        <f t="shared" si="16"/>
        <v>-4.9642572188670395E-2</v>
      </c>
      <c r="M109" s="452"/>
      <c r="Q109" s="464"/>
      <c r="R109" s="464"/>
      <c r="S109" s="464"/>
      <c r="T109" s="464"/>
    </row>
    <row r="110" spans="1:20" s="458" customFormat="1" ht="11.25">
      <c r="A110" s="459"/>
      <c r="B110" s="440"/>
      <c r="C110" s="493" t="s">
        <v>85</v>
      </c>
      <c r="D110" s="493" t="s">
        <v>3632</v>
      </c>
      <c r="E110" s="491"/>
      <c r="F110" s="454"/>
      <c r="G110" s="455"/>
      <c r="H110" s="199"/>
      <c r="I110" s="461">
        <f>+ROUND('SP Min'!D217,0)</f>
        <v>2570479</v>
      </c>
      <c r="J110" s="503">
        <f>+ROUND('SP Min'!E217,0)</f>
        <v>2748992</v>
      </c>
      <c r="K110" s="517">
        <f t="shared" ref="K110:K167" si="17">+I110-J110</f>
        <v>-178513</v>
      </c>
      <c r="L110" s="457">
        <f t="shared" si="16"/>
        <v>-6.4937620771540985E-2</v>
      </c>
      <c r="M110" s="452"/>
      <c r="Q110" s="462"/>
      <c r="R110" s="462"/>
      <c r="S110" s="462"/>
      <c r="T110" s="462"/>
    </row>
    <row r="111" spans="1:20" s="458" customFormat="1" ht="11.25">
      <c r="A111" s="459"/>
      <c r="B111" s="440"/>
      <c r="C111" s="493" t="s">
        <v>87</v>
      </c>
      <c r="D111" s="493" t="s">
        <v>3633</v>
      </c>
      <c r="E111" s="491"/>
      <c r="F111" s="454"/>
      <c r="G111" s="455"/>
      <c r="H111" s="199"/>
      <c r="I111" s="461">
        <f>SUM(I112:I114)</f>
        <v>22112029</v>
      </c>
      <c r="J111" s="503">
        <f>SUM(J112:J114)</f>
        <v>22727917</v>
      </c>
      <c r="K111" s="517">
        <f t="shared" si="17"/>
        <v>-615888</v>
      </c>
      <c r="L111" s="457">
        <f t="shared" si="16"/>
        <v>-2.7098303817283387E-2</v>
      </c>
      <c r="M111" s="452"/>
      <c r="Q111" s="462"/>
      <c r="R111" s="462"/>
      <c r="S111" s="462"/>
      <c r="T111" s="462"/>
    </row>
    <row r="112" spans="1:20" s="458" customFormat="1" ht="11.25">
      <c r="A112" s="459"/>
      <c r="B112" s="491"/>
      <c r="C112" s="493"/>
      <c r="D112" s="497" t="s">
        <v>3634</v>
      </c>
      <c r="E112" s="497" t="s">
        <v>3635</v>
      </c>
      <c r="F112" s="499"/>
      <c r="G112" s="493"/>
      <c r="H112" s="493"/>
      <c r="I112" s="461">
        <f>+ROUND('SP Min'!D219,0)</f>
        <v>14989041</v>
      </c>
      <c r="J112" s="503">
        <f>+ROUND('SP Min'!E219,0)</f>
        <v>15013895</v>
      </c>
      <c r="K112" s="517">
        <f t="shared" si="17"/>
        <v>-24854</v>
      </c>
      <c r="L112" s="457">
        <f t="shared" si="16"/>
        <v>-1.6553998812433416E-3</v>
      </c>
      <c r="M112" s="452"/>
      <c r="Q112" s="462"/>
      <c r="R112" s="462"/>
      <c r="S112" s="462"/>
      <c r="T112" s="462"/>
    </row>
    <row r="113" spans="1:20" s="458" customFormat="1" ht="11.25">
      <c r="A113" s="459"/>
      <c r="B113" s="491"/>
      <c r="C113" s="493"/>
      <c r="D113" s="497" t="s">
        <v>3538</v>
      </c>
      <c r="E113" s="497" t="s">
        <v>3636</v>
      </c>
      <c r="F113" s="499"/>
      <c r="G113" s="493"/>
      <c r="H113" s="493"/>
      <c r="I113" s="461">
        <f>+ROUND('SP Min'!D220,0)</f>
        <v>736714</v>
      </c>
      <c r="J113" s="503">
        <f>+ROUND('SP Min'!E220,0)</f>
        <v>958921</v>
      </c>
      <c r="K113" s="517">
        <f t="shared" si="17"/>
        <v>-222207</v>
      </c>
      <c r="L113" s="457">
        <f t="shared" si="16"/>
        <v>-0.23172607545355664</v>
      </c>
      <c r="M113" s="452"/>
      <c r="Q113" s="462"/>
      <c r="R113" s="462"/>
      <c r="S113" s="462"/>
      <c r="T113" s="462"/>
    </row>
    <row r="114" spans="1:20" s="458" customFormat="1" ht="11.25">
      <c r="A114" s="459"/>
      <c r="B114" s="491"/>
      <c r="C114" s="493"/>
      <c r="D114" s="497" t="s">
        <v>3637</v>
      </c>
      <c r="E114" s="497" t="s">
        <v>3638</v>
      </c>
      <c r="F114" s="499"/>
      <c r="G114" s="493"/>
      <c r="H114" s="493"/>
      <c r="I114" s="461">
        <f>+ROUND('SP Min'!D221,0)</f>
        <v>6386274</v>
      </c>
      <c r="J114" s="503">
        <f>+ROUND('SP Min'!E221,0)</f>
        <v>6755101</v>
      </c>
      <c r="K114" s="517">
        <f t="shared" si="17"/>
        <v>-368827</v>
      </c>
      <c r="L114" s="457">
        <f t="shared" si="16"/>
        <v>-5.4599775784255483E-2</v>
      </c>
      <c r="M114" s="452"/>
      <c r="Q114" s="462"/>
      <c r="R114" s="462"/>
      <c r="S114" s="462"/>
      <c r="T114" s="462"/>
    </row>
    <row r="115" spans="1:20" s="458" customFormat="1" ht="11.25">
      <c r="A115" s="459"/>
      <c r="B115" s="491"/>
      <c r="C115" s="474" t="s">
        <v>115</v>
      </c>
      <c r="D115" s="474" t="s">
        <v>3639</v>
      </c>
      <c r="E115" s="493"/>
      <c r="F115" s="499"/>
      <c r="G115" s="493"/>
      <c r="H115" s="493"/>
      <c r="I115" s="461">
        <f>+ROUND('SP Min'!D222,0)</f>
        <v>27474739</v>
      </c>
      <c r="J115" s="503">
        <f>+ROUND('SP Min'!E222,0)</f>
        <v>29508985</v>
      </c>
      <c r="K115" s="517">
        <f t="shared" si="17"/>
        <v>-2034246</v>
      </c>
      <c r="L115" s="457">
        <f t="shared" si="16"/>
        <v>-6.8936495104796047E-2</v>
      </c>
      <c r="M115" s="452"/>
      <c r="Q115" s="462"/>
      <c r="R115" s="462"/>
      <c r="S115" s="462"/>
      <c r="T115" s="462"/>
    </row>
    <row r="116" spans="1:20" s="458" customFormat="1" ht="11.25">
      <c r="A116" s="459"/>
      <c r="B116" s="491"/>
      <c r="C116" s="474" t="s">
        <v>3530</v>
      </c>
      <c r="D116" s="474" t="s">
        <v>3640</v>
      </c>
      <c r="E116" s="493"/>
      <c r="F116" s="499"/>
      <c r="G116" s="493"/>
      <c r="H116" s="493"/>
      <c r="I116" s="461">
        <f>+ROUND('SP Min'!D223,0)</f>
        <v>129982</v>
      </c>
      <c r="J116" s="503">
        <f>+ROUND('SP Min'!E223,0)</f>
        <v>28336</v>
      </c>
      <c r="K116" s="517">
        <f t="shared" si="17"/>
        <v>101646</v>
      </c>
      <c r="L116" s="457">
        <f t="shared" si="16"/>
        <v>3.5871682665160924</v>
      </c>
      <c r="M116" s="452"/>
      <c r="Q116" s="462"/>
      <c r="R116" s="462"/>
      <c r="S116" s="462"/>
      <c r="T116" s="462"/>
    </row>
    <row r="117" spans="1:20" s="458" customFormat="1" ht="11.25">
      <c r="A117" s="459"/>
      <c r="B117" s="440"/>
      <c r="C117" s="474" t="s">
        <v>3532</v>
      </c>
      <c r="D117" s="474" t="s">
        <v>3641</v>
      </c>
      <c r="E117" s="440"/>
      <c r="F117" s="454"/>
      <c r="G117" s="455"/>
      <c r="H117" s="199"/>
      <c r="I117" s="461">
        <f>+ROUND('SP Min'!D224,0)</f>
        <v>102798</v>
      </c>
      <c r="J117" s="503">
        <f>+ROUND('SP Min'!E224,0)</f>
        <v>112426</v>
      </c>
      <c r="K117" s="517">
        <f t="shared" si="17"/>
        <v>-9628</v>
      </c>
      <c r="L117" s="457">
        <f t="shared" si="16"/>
        <v>-8.5638553359543165E-2</v>
      </c>
      <c r="M117" s="452"/>
      <c r="Q117" s="462"/>
      <c r="R117" s="462"/>
      <c r="S117" s="462"/>
      <c r="T117" s="462"/>
    </row>
    <row r="118" spans="1:20" s="447" customFormat="1" ht="11.25">
      <c r="A118" s="448"/>
      <c r="B118" s="544" t="s">
        <v>124</v>
      </c>
      <c r="C118" s="544" t="s">
        <v>3642</v>
      </c>
      <c r="D118" s="440"/>
      <c r="E118" s="440"/>
      <c r="F118" s="545"/>
      <c r="G118" s="442"/>
      <c r="H118" s="200"/>
      <c r="I118" s="450">
        <f>+ROUND('SP Min'!D225,0)</f>
        <v>5912508</v>
      </c>
      <c r="J118" s="506">
        <f>+ROUND('SP Min'!E225,0)</f>
        <v>4941979</v>
      </c>
      <c r="K118" s="517">
        <f t="shared" si="17"/>
        <v>970529</v>
      </c>
      <c r="L118" s="457">
        <f t="shared" si="16"/>
        <v>0.19638468718705604</v>
      </c>
      <c r="M118" s="452"/>
      <c r="Q118" s="464"/>
      <c r="R118" s="464"/>
      <c r="S118" s="464"/>
      <c r="T118" s="464"/>
    </row>
    <row r="119" spans="1:20" s="447" customFormat="1" ht="11.25">
      <c r="A119" s="448"/>
      <c r="B119" s="544" t="s">
        <v>125</v>
      </c>
      <c r="C119" s="449" t="s">
        <v>3643</v>
      </c>
      <c r="D119" s="440"/>
      <c r="E119" s="440"/>
      <c r="F119" s="545"/>
      <c r="G119" s="442"/>
      <c r="H119" s="200"/>
      <c r="I119" s="450">
        <f>+ROUND('SP Min'!D226,0)</f>
        <v>2842584</v>
      </c>
      <c r="J119" s="450">
        <f>+ROUND('SP Min'!E226,0)</f>
        <v>2927983</v>
      </c>
      <c r="K119" s="517">
        <f t="shared" si="17"/>
        <v>-85399</v>
      </c>
      <c r="L119" s="457">
        <f t="shared" si="16"/>
        <v>-2.9166494477597719E-2</v>
      </c>
      <c r="M119" s="452"/>
      <c r="Q119" s="464"/>
      <c r="R119" s="464"/>
      <c r="S119" s="464"/>
      <c r="T119" s="464"/>
    </row>
    <row r="120" spans="1:20" s="447" customFormat="1" ht="11.25">
      <c r="A120" s="448"/>
      <c r="B120" s="544" t="s">
        <v>126</v>
      </c>
      <c r="C120" s="449" t="s">
        <v>3644</v>
      </c>
      <c r="D120" s="440"/>
      <c r="E120" s="440"/>
      <c r="F120" s="441"/>
      <c r="G120" s="442"/>
      <c r="H120" s="200"/>
      <c r="I120" s="506">
        <f>+ROUND('SP Min'!D232,0)</f>
        <v>0</v>
      </c>
      <c r="J120" s="506">
        <f>+ROUND('SP Min'!E232,0)</f>
        <v>0</v>
      </c>
      <c r="K120" s="517">
        <f t="shared" si="17"/>
        <v>0</v>
      </c>
      <c r="L120" s="457" t="str">
        <f t="shared" si="16"/>
        <v xml:space="preserve">-    </v>
      </c>
      <c r="M120" s="452"/>
      <c r="Q120" s="464"/>
      <c r="R120" s="464"/>
      <c r="S120" s="464"/>
      <c r="T120" s="464"/>
    </row>
    <row r="121" spans="1:20" s="447" customFormat="1" ht="11.25">
      <c r="A121" s="448"/>
      <c r="B121" s="544" t="s">
        <v>127</v>
      </c>
      <c r="C121" s="449" t="s">
        <v>3645</v>
      </c>
      <c r="D121" s="440"/>
      <c r="E121" s="440"/>
      <c r="F121" s="545"/>
      <c r="G121" s="442"/>
      <c r="H121" s="200"/>
      <c r="I121" s="506">
        <f>+ROUND('SP Min'!D236,0)</f>
        <v>0</v>
      </c>
      <c r="J121" s="506">
        <f>+ROUND('SP Min'!E236,0)</f>
        <v>0</v>
      </c>
      <c r="K121" s="517">
        <f t="shared" si="17"/>
        <v>0</v>
      </c>
      <c r="L121" s="457" t="str">
        <f t="shared" si="16"/>
        <v xml:space="preserve">-    </v>
      </c>
      <c r="M121" s="452"/>
      <c r="Q121" s="464"/>
      <c r="R121" s="464"/>
      <c r="S121" s="464"/>
      <c r="T121" s="464"/>
    </row>
    <row r="122" spans="1:20" s="447" customFormat="1" ht="11.25">
      <c r="A122" s="448"/>
      <c r="B122" s="544" t="s">
        <v>3646</v>
      </c>
      <c r="C122" s="449" t="s">
        <v>3647</v>
      </c>
      <c r="D122" s="440"/>
      <c r="E122" s="440"/>
      <c r="F122" s="545"/>
      <c r="G122" s="442"/>
      <c r="H122" s="200"/>
      <c r="I122" s="506">
        <f>+ROUND('SP Min'!D237,0)</f>
        <v>0</v>
      </c>
      <c r="J122" s="506">
        <f>+ROUND('SP Min'!E237,0)</f>
        <v>15600</v>
      </c>
      <c r="K122" s="517">
        <f t="shared" si="17"/>
        <v>-15600</v>
      </c>
      <c r="L122" s="546">
        <f t="shared" si="16"/>
        <v>-1</v>
      </c>
      <c r="M122" s="452"/>
      <c r="Q122" s="464"/>
      <c r="R122" s="464"/>
      <c r="S122" s="464"/>
      <c r="T122" s="464"/>
    </row>
    <row r="123" spans="1:20" s="447" customFormat="1" ht="11.25">
      <c r="A123" s="1025" t="s">
        <v>3567</v>
      </c>
      <c r="B123" s="1026"/>
      <c r="C123" s="1026"/>
      <c r="D123" s="1026"/>
      <c r="E123" s="1026"/>
      <c r="F123" s="1026"/>
      <c r="G123" s="1027"/>
      <c r="H123" s="1026"/>
      <c r="I123" s="483">
        <f>I108+I109+SUM(I118:I122)</f>
        <v>61453700</v>
      </c>
      <c r="J123" s="484">
        <f>J108+J109+SUM(J118:J122)</f>
        <v>63320799</v>
      </c>
      <c r="K123" s="547">
        <f t="shared" si="17"/>
        <v>-1867099</v>
      </c>
      <c r="L123" s="173">
        <f t="shared" si="16"/>
        <v>-2.9486346184608315E-2</v>
      </c>
      <c r="M123" s="452"/>
      <c r="Q123" s="464"/>
      <c r="R123" s="464"/>
      <c r="S123" s="464"/>
      <c r="T123" s="464"/>
    </row>
    <row r="124" spans="1:20" s="447" customFormat="1" ht="11.25">
      <c r="A124" s="548" t="s">
        <v>32</v>
      </c>
      <c r="B124" s="195" t="s">
        <v>3648</v>
      </c>
      <c r="C124" s="544"/>
      <c r="D124" s="440"/>
      <c r="E124" s="440"/>
      <c r="F124" s="441"/>
      <c r="G124" s="549"/>
      <c r="H124" s="200"/>
      <c r="I124" s="486"/>
      <c r="J124" s="486"/>
      <c r="K124" s="451">
        <f t="shared" si="17"/>
        <v>0</v>
      </c>
      <c r="L124" s="186" t="str">
        <f t="shared" si="16"/>
        <v xml:space="preserve">-    </v>
      </c>
      <c r="M124" s="452"/>
      <c r="Q124" s="464"/>
      <c r="R124" s="464"/>
      <c r="S124" s="464"/>
      <c r="T124" s="464"/>
    </row>
    <row r="125" spans="1:20" s="447" customFormat="1" ht="11.25">
      <c r="A125" s="548"/>
      <c r="B125" s="544" t="s">
        <v>85</v>
      </c>
      <c r="C125" s="195" t="s">
        <v>3649</v>
      </c>
      <c r="D125" s="440"/>
      <c r="E125" s="440"/>
      <c r="F125" s="441"/>
      <c r="G125" s="442"/>
      <c r="H125" s="200"/>
      <c r="I125" s="506">
        <f>+ROUND('SP Min'!D239,0)</f>
        <v>0</v>
      </c>
      <c r="J125" s="506">
        <f>+ROUND('SP Min'!E239,0)</f>
        <v>0</v>
      </c>
      <c r="K125" s="517">
        <f t="shared" si="17"/>
        <v>0</v>
      </c>
      <c r="L125" s="457" t="str">
        <f t="shared" si="16"/>
        <v xml:space="preserve">-    </v>
      </c>
      <c r="M125" s="452"/>
      <c r="Q125" s="464"/>
      <c r="R125" s="464"/>
      <c r="S125" s="464"/>
      <c r="T125" s="464"/>
    </row>
    <row r="126" spans="1:20" s="447" customFormat="1" ht="11.25">
      <c r="A126" s="548"/>
      <c r="B126" s="544" t="s">
        <v>87</v>
      </c>
      <c r="C126" s="195" t="s">
        <v>3650</v>
      </c>
      <c r="D126" s="440"/>
      <c r="E126" s="440"/>
      <c r="F126" s="449"/>
      <c r="G126" s="442"/>
      <c r="H126" s="200"/>
      <c r="I126" s="506">
        <f>+ROUND('SP Min'!D240,0)</f>
        <v>4666014</v>
      </c>
      <c r="J126" s="506">
        <f>+ROUND('SP Min'!E240,0)</f>
        <v>4577189</v>
      </c>
      <c r="K126" s="517">
        <f t="shared" si="17"/>
        <v>88825</v>
      </c>
      <c r="L126" s="457">
        <f t="shared" si="16"/>
        <v>1.940601535134337E-2</v>
      </c>
      <c r="M126" s="452"/>
      <c r="Q126" s="464"/>
      <c r="R126" s="464"/>
      <c r="S126" s="464"/>
      <c r="T126" s="464"/>
    </row>
    <row r="127" spans="1:20" s="447" customFormat="1" ht="11.25">
      <c r="A127" s="548"/>
      <c r="B127" s="544" t="s">
        <v>115</v>
      </c>
      <c r="C127" s="195" t="s">
        <v>3651</v>
      </c>
      <c r="D127" s="440"/>
      <c r="E127" s="440"/>
      <c r="F127" s="441"/>
      <c r="G127" s="442"/>
      <c r="H127" s="200"/>
      <c r="I127" s="506">
        <f>+ROUND('SP Min'!D248,0)</f>
        <v>0</v>
      </c>
      <c r="J127" s="506">
        <f>+ROUND('SP Min'!E248,0)</f>
        <v>0</v>
      </c>
      <c r="K127" s="517">
        <f t="shared" si="17"/>
        <v>0</v>
      </c>
      <c r="L127" s="457" t="str">
        <f t="shared" si="16"/>
        <v xml:space="preserve">-    </v>
      </c>
      <c r="M127" s="452"/>
      <c r="Q127" s="464"/>
      <c r="R127" s="464"/>
      <c r="S127" s="464"/>
      <c r="T127" s="464"/>
    </row>
    <row r="128" spans="1:20" s="447" customFormat="1" ht="11.25">
      <c r="A128" s="548"/>
      <c r="B128" s="544" t="s">
        <v>3530</v>
      </c>
      <c r="C128" s="544" t="s">
        <v>3652</v>
      </c>
      <c r="D128" s="440"/>
      <c r="E128" s="440"/>
      <c r="F128" s="449"/>
      <c r="G128" s="442"/>
      <c r="H128" s="200"/>
      <c r="I128" s="450">
        <f>+ROUND('SP Min'!D257,0)</f>
        <v>12509144</v>
      </c>
      <c r="J128" s="506">
        <f>+ROUND('SP Min'!E257,0)</f>
        <v>14851638</v>
      </c>
      <c r="K128" s="517">
        <f t="shared" si="17"/>
        <v>-2342494</v>
      </c>
      <c r="L128" s="457">
        <f t="shared" si="16"/>
        <v>-0.15772630601419182</v>
      </c>
      <c r="M128" s="452"/>
      <c r="Q128" s="464"/>
      <c r="R128" s="464"/>
      <c r="S128" s="464"/>
      <c r="T128" s="464"/>
    </row>
    <row r="129" spans="1:20" s="447" customFormat="1" ht="11.25">
      <c r="A129" s="548"/>
      <c r="B129" s="544" t="s">
        <v>3532</v>
      </c>
      <c r="C129" s="544" t="s">
        <v>3653</v>
      </c>
      <c r="D129" s="440"/>
      <c r="E129" s="440"/>
      <c r="F129" s="449"/>
      <c r="G129" s="550"/>
      <c r="H129" s="200"/>
      <c r="I129" s="450">
        <f>+ROUND('SP Min'!D263,0)</f>
        <v>3102279</v>
      </c>
      <c r="J129" s="506">
        <f>+ROUND('SP Min'!E263,0)</f>
        <v>2073932</v>
      </c>
      <c r="K129" s="517">
        <f t="shared" si="17"/>
        <v>1028347</v>
      </c>
      <c r="L129" s="457">
        <f t="shared" si="16"/>
        <v>0.49584412603691924</v>
      </c>
      <c r="M129" s="452"/>
      <c r="Q129" s="464"/>
      <c r="R129" s="464"/>
      <c r="S129" s="464"/>
      <c r="T129" s="464"/>
    </row>
    <row r="130" spans="1:20" s="447" customFormat="1" ht="11.25">
      <c r="A130" s="1028" t="s">
        <v>3614</v>
      </c>
      <c r="B130" s="1029"/>
      <c r="C130" s="1029"/>
      <c r="D130" s="1029"/>
      <c r="E130" s="1029"/>
      <c r="F130" s="1029"/>
      <c r="G130" s="1030"/>
      <c r="H130" s="1029"/>
      <c r="I130" s="483">
        <f>SUM(I125:I129)</f>
        <v>20277437</v>
      </c>
      <c r="J130" s="483">
        <f>SUM(J125:J129)</f>
        <v>21502759</v>
      </c>
      <c r="K130" s="547">
        <f t="shared" si="17"/>
        <v>-1225322</v>
      </c>
      <c r="L130" s="173">
        <f t="shared" si="16"/>
        <v>-5.6984408372897637E-2</v>
      </c>
      <c r="M130" s="452"/>
      <c r="Q130" s="464"/>
      <c r="R130" s="464"/>
      <c r="S130" s="464"/>
      <c r="T130" s="464"/>
    </row>
    <row r="131" spans="1:20" s="447" customFormat="1" ht="11.25">
      <c r="A131" s="548" t="s">
        <v>83</v>
      </c>
      <c r="B131" s="544" t="s">
        <v>3654</v>
      </c>
      <c r="C131" s="544"/>
      <c r="D131" s="440"/>
      <c r="E131" s="440"/>
      <c r="F131" s="449"/>
      <c r="G131" s="549"/>
      <c r="H131" s="200"/>
      <c r="I131" s="506"/>
      <c r="J131" s="506"/>
      <c r="K131" s="451">
        <f t="shared" si="17"/>
        <v>0</v>
      </c>
      <c r="L131" s="186" t="str">
        <f t="shared" si="16"/>
        <v xml:space="preserve">-    </v>
      </c>
      <c r="M131" s="452"/>
      <c r="Q131" s="464"/>
      <c r="R131" s="464"/>
      <c r="S131" s="464"/>
      <c r="T131" s="464"/>
    </row>
    <row r="132" spans="1:20" s="447" customFormat="1" ht="11.25">
      <c r="A132" s="548"/>
      <c r="B132" s="544" t="s">
        <v>85</v>
      </c>
      <c r="C132" s="544" t="s">
        <v>3655</v>
      </c>
      <c r="D132" s="440"/>
      <c r="E132" s="440"/>
      <c r="F132" s="449"/>
      <c r="G132" s="442"/>
      <c r="H132" s="200"/>
      <c r="I132" s="506">
        <f>+ROUND('SP Min'!D272,0)</f>
        <v>0</v>
      </c>
      <c r="J132" s="506">
        <f>+ROUND('SP Min'!E272,0)</f>
        <v>0</v>
      </c>
      <c r="K132" s="517">
        <f t="shared" si="17"/>
        <v>0</v>
      </c>
      <c r="L132" s="457" t="str">
        <f t="shared" si="16"/>
        <v xml:space="preserve">-    </v>
      </c>
      <c r="M132" s="452"/>
      <c r="Q132" s="464"/>
      <c r="R132" s="464"/>
      <c r="S132" s="464"/>
      <c r="T132" s="464"/>
    </row>
    <row r="133" spans="1:20" s="447" customFormat="1" ht="11.25">
      <c r="A133" s="548"/>
      <c r="B133" s="544" t="s">
        <v>87</v>
      </c>
      <c r="C133" s="544" t="s">
        <v>3656</v>
      </c>
      <c r="D133" s="440"/>
      <c r="E133" s="440"/>
      <c r="F133" s="449"/>
      <c r="G133" s="550"/>
      <c r="H133" s="200"/>
      <c r="I133" s="506">
        <f>+ROUND('SP Min'!D273+'SP Min'!D274,0)</f>
        <v>0</v>
      </c>
      <c r="J133" s="506">
        <f>+ROUND('SP Min'!E273+'SP Min'!E274,0)</f>
        <v>0</v>
      </c>
      <c r="K133" s="517">
        <f t="shared" si="17"/>
        <v>0</v>
      </c>
      <c r="L133" s="457" t="str">
        <f t="shared" si="16"/>
        <v xml:space="preserve">-    </v>
      </c>
      <c r="M133" s="452"/>
      <c r="Q133" s="464"/>
      <c r="R133" s="464"/>
      <c r="S133" s="464"/>
      <c r="T133" s="464"/>
    </row>
    <row r="134" spans="1:20" s="447" customFormat="1" ht="11.25">
      <c r="A134" s="1028" t="s">
        <v>3618</v>
      </c>
      <c r="B134" s="1029"/>
      <c r="C134" s="1029"/>
      <c r="D134" s="1029"/>
      <c r="E134" s="1029"/>
      <c r="F134" s="1029"/>
      <c r="G134" s="1031"/>
      <c r="H134" s="1029"/>
      <c r="I134" s="483">
        <f>SUM(I132:I133)</f>
        <v>0</v>
      </c>
      <c r="J134" s="483">
        <f>SUM(J132:J133)</f>
        <v>0</v>
      </c>
      <c r="K134" s="547">
        <f t="shared" si="17"/>
        <v>0</v>
      </c>
      <c r="L134" s="173" t="str">
        <f t="shared" si="16"/>
        <v xml:space="preserve">-    </v>
      </c>
      <c r="M134" s="452"/>
      <c r="Q134" s="464"/>
      <c r="R134" s="464"/>
      <c r="S134" s="464"/>
      <c r="T134" s="464"/>
    </row>
    <row r="135" spans="1:20" s="447" customFormat="1" ht="11.25">
      <c r="A135" s="551" t="s">
        <v>91</v>
      </c>
      <c r="B135" s="195" t="s">
        <v>3657</v>
      </c>
      <c r="C135" s="552"/>
      <c r="D135" s="552"/>
      <c r="E135" s="552"/>
      <c r="F135" s="441"/>
      <c r="G135" s="441"/>
      <c r="H135" s="441"/>
      <c r="I135" s="553"/>
      <c r="J135" s="553"/>
      <c r="K135" s="451">
        <f t="shared" si="17"/>
        <v>0</v>
      </c>
      <c r="L135" s="186" t="str">
        <f t="shared" si="16"/>
        <v xml:space="preserve">-    </v>
      </c>
      <c r="M135" s="452"/>
      <c r="Q135" s="464"/>
      <c r="R135" s="464"/>
      <c r="S135" s="464"/>
      <c r="T135" s="464"/>
    </row>
    <row r="136" spans="1:20" s="447" customFormat="1" ht="11.25">
      <c r="A136" s="438"/>
      <c r="B136" s="440"/>
      <c r="C136" s="440"/>
      <c r="D136" s="440"/>
      <c r="E136" s="440"/>
      <c r="F136" s="195"/>
      <c r="G136" s="554" t="s">
        <v>3554</v>
      </c>
      <c r="H136" s="555" t="s">
        <v>3555</v>
      </c>
      <c r="I136" s="556"/>
      <c r="J136" s="556"/>
      <c r="K136" s="451">
        <f t="shared" si="17"/>
        <v>0</v>
      </c>
      <c r="L136" s="186" t="str">
        <f t="shared" si="16"/>
        <v xml:space="preserve">-    </v>
      </c>
      <c r="M136" s="452"/>
      <c r="Q136" s="464"/>
      <c r="R136" s="464"/>
      <c r="S136" s="464"/>
      <c r="T136" s="464"/>
    </row>
    <row r="137" spans="1:20" s="447" customFormat="1" ht="11.25">
      <c r="A137" s="438"/>
      <c r="B137" s="544" t="s">
        <v>85</v>
      </c>
      <c r="C137" s="195" t="s">
        <v>3658</v>
      </c>
      <c r="D137" s="440"/>
      <c r="E137" s="440"/>
      <c r="F137" s="195"/>
      <c r="G137" s="201"/>
      <c r="H137" s="200"/>
      <c r="I137" s="506">
        <f>+ROUND('SP Min'!D276,0)</f>
        <v>0</v>
      </c>
      <c r="J137" s="506">
        <f>+ROUND('SP Min'!E276,0)</f>
        <v>0</v>
      </c>
      <c r="K137" s="517">
        <f t="shared" si="17"/>
        <v>0</v>
      </c>
      <c r="L137" s="457" t="str">
        <f t="shared" si="16"/>
        <v xml:space="preserve">-    </v>
      </c>
      <c r="M137" s="452"/>
      <c r="Q137" s="464"/>
      <c r="R137" s="464"/>
      <c r="S137" s="464"/>
      <c r="T137" s="464"/>
    </row>
    <row r="138" spans="1:20" s="447" customFormat="1" ht="11.25">
      <c r="A138" s="438"/>
      <c r="B138" s="544" t="s">
        <v>87</v>
      </c>
      <c r="C138" s="557" t="s">
        <v>3659</v>
      </c>
      <c r="D138" s="440"/>
      <c r="E138" s="440"/>
      <c r="F138" s="441"/>
      <c r="G138" s="201"/>
      <c r="H138" s="201"/>
      <c r="I138" s="506">
        <f>+ROUND('SP Min'!D277,0)</f>
        <v>0</v>
      </c>
      <c r="J138" s="506">
        <f>+ROUND('SP Min'!E277,0)</f>
        <v>0</v>
      </c>
      <c r="K138" s="517">
        <f t="shared" si="17"/>
        <v>0</v>
      </c>
      <c r="L138" s="457" t="str">
        <f t="shared" si="16"/>
        <v xml:space="preserve">-    </v>
      </c>
      <c r="M138" s="452"/>
      <c r="Q138" s="464"/>
      <c r="R138" s="464"/>
      <c r="S138" s="464"/>
      <c r="T138" s="464"/>
    </row>
    <row r="139" spans="1:20" s="447" customFormat="1" ht="11.25">
      <c r="A139" s="438"/>
      <c r="B139" s="544" t="s">
        <v>115</v>
      </c>
      <c r="C139" s="195" t="s">
        <v>3660</v>
      </c>
      <c r="D139" s="440"/>
      <c r="E139" s="440"/>
      <c r="F139" s="441"/>
      <c r="G139" s="558">
        <v>56845</v>
      </c>
      <c r="H139" s="196"/>
      <c r="I139" s="506">
        <f>+ROUND('SP Min'!D283,0)</f>
        <v>56845</v>
      </c>
      <c r="J139" s="506">
        <f>+ROUND('SP Min'!E283,0)</f>
        <v>15626</v>
      </c>
      <c r="K139" s="517">
        <f t="shared" si="17"/>
        <v>41219</v>
      </c>
      <c r="L139" s="457">
        <f t="shared" si="16"/>
        <v>2.6378471777806221</v>
      </c>
      <c r="M139" s="452"/>
      <c r="Q139" s="464"/>
      <c r="R139" s="464"/>
      <c r="S139" s="464"/>
      <c r="T139" s="464"/>
    </row>
    <row r="140" spans="1:20" s="447" customFormat="1" ht="11.25">
      <c r="A140" s="438"/>
      <c r="B140" s="544" t="s">
        <v>3530</v>
      </c>
      <c r="C140" s="557" t="s">
        <v>3661</v>
      </c>
      <c r="D140" s="440"/>
      <c r="E140" s="440"/>
      <c r="F140" s="195"/>
      <c r="G140" s="558">
        <v>2750</v>
      </c>
      <c r="H140" s="478"/>
      <c r="I140" s="506">
        <f>+ROUND('SP Min'!D294,0)</f>
        <v>2750</v>
      </c>
      <c r="J140" s="506">
        <f>+ROUND('SP Min'!E294,0)</f>
        <v>0</v>
      </c>
      <c r="K140" s="517">
        <f>+I140-J140</f>
        <v>2750</v>
      </c>
      <c r="L140" s="457" t="str">
        <f t="shared" si="16"/>
        <v xml:space="preserve">-    </v>
      </c>
      <c r="M140" s="452"/>
      <c r="Q140" s="464"/>
      <c r="R140" s="464"/>
      <c r="S140" s="464"/>
      <c r="T140" s="464"/>
    </row>
    <row r="141" spans="1:20" s="447" customFormat="1" ht="11.25">
      <c r="A141" s="438"/>
      <c r="B141" s="544" t="s">
        <v>3532</v>
      </c>
      <c r="C141" s="195" t="s">
        <v>3662</v>
      </c>
      <c r="D141" s="440"/>
      <c r="E141" s="440"/>
      <c r="F141" s="441"/>
      <c r="G141" s="558">
        <v>2963994</v>
      </c>
      <c r="H141" s="196"/>
      <c r="I141" s="559">
        <f>I142+I143+I144+I145+I146+I147</f>
        <v>2963994</v>
      </c>
      <c r="J141" s="541">
        <f>J142+J143+J144+J145+J146+J147</f>
        <v>9417115</v>
      </c>
      <c r="K141" s="517">
        <f t="shared" si="17"/>
        <v>-6453121</v>
      </c>
      <c r="L141" s="457">
        <f t="shared" si="16"/>
        <v>-0.68525456044659117</v>
      </c>
      <c r="M141" s="452"/>
      <c r="Q141" s="464"/>
      <c r="R141" s="464"/>
      <c r="S141" s="464"/>
      <c r="T141" s="464"/>
    </row>
    <row r="142" spans="1:20" s="458" customFormat="1" ht="18" customHeight="1">
      <c r="A142" s="438"/>
      <c r="B142" s="440"/>
      <c r="C142" s="454" t="s">
        <v>3536</v>
      </c>
      <c r="D142" s="1002" t="s">
        <v>3663</v>
      </c>
      <c r="E142" s="1002"/>
      <c r="F142" s="1003"/>
      <c r="G142" s="503">
        <v>1493864</v>
      </c>
      <c r="H142" s="561"/>
      <c r="I142" s="503">
        <f>+ROUND('SP Min'!D297+'SP Min'!D300+'SP Min'!D301+'SP Min'!D304+'SP Min'!D305,0)</f>
        <v>1493864</v>
      </c>
      <c r="J142" s="503">
        <f>+ROUND('SP Min'!E297+'SP Min'!E300+'SP Min'!E301+'SP Min'!E304+'SP Min'!E305,0)</f>
        <v>3772448</v>
      </c>
      <c r="K142" s="517">
        <f t="shared" si="17"/>
        <v>-2278584</v>
      </c>
      <c r="L142" s="457">
        <f t="shared" si="16"/>
        <v>-0.6040067351491657</v>
      </c>
      <c r="M142" s="452"/>
      <c r="Q142" s="462"/>
      <c r="R142" s="462"/>
      <c r="S142" s="462"/>
      <c r="T142" s="462"/>
    </row>
    <row r="143" spans="1:20" s="458" customFormat="1" ht="22.5" customHeight="1">
      <c r="A143" s="438"/>
      <c r="B143" s="440"/>
      <c r="C143" s="454" t="s">
        <v>3538</v>
      </c>
      <c r="D143" s="1002" t="s">
        <v>3664</v>
      </c>
      <c r="E143" s="1002"/>
      <c r="F143" s="1003"/>
      <c r="G143" s="503">
        <v>0</v>
      </c>
      <c r="H143" s="561"/>
      <c r="I143" s="503">
        <f>+ROUND('SP Min'!D298,0)</f>
        <v>0</v>
      </c>
      <c r="J143" s="503">
        <f>+ROUND('SP Min'!E298,0)</f>
        <v>0</v>
      </c>
      <c r="K143" s="517">
        <f t="shared" si="17"/>
        <v>0</v>
      </c>
      <c r="L143" s="457" t="str">
        <f t="shared" si="16"/>
        <v xml:space="preserve">-    </v>
      </c>
      <c r="M143" s="452"/>
      <c r="Q143" s="462"/>
      <c r="R143" s="462"/>
      <c r="S143" s="462"/>
      <c r="T143" s="462"/>
    </row>
    <row r="144" spans="1:20" s="458" customFormat="1" ht="22.5" customHeight="1">
      <c r="A144" s="438"/>
      <c r="B144" s="440"/>
      <c r="C144" s="454" t="s">
        <v>3560</v>
      </c>
      <c r="D144" s="1002" t="s">
        <v>3665</v>
      </c>
      <c r="E144" s="1002"/>
      <c r="F144" s="1003"/>
      <c r="G144" s="503">
        <v>0</v>
      </c>
      <c r="H144" s="561"/>
      <c r="I144" s="503">
        <f>+ROUND('SP Min'!D299,0)</f>
        <v>0</v>
      </c>
      <c r="J144" s="503">
        <f>+ROUND('SP Min'!E299,0)</f>
        <v>0</v>
      </c>
      <c r="K144" s="517">
        <f t="shared" si="17"/>
        <v>0</v>
      </c>
      <c r="L144" s="457" t="str">
        <f t="shared" si="16"/>
        <v xml:space="preserve">-    </v>
      </c>
      <c r="M144" s="452"/>
      <c r="Q144" s="462"/>
      <c r="R144" s="462"/>
      <c r="S144" s="462"/>
      <c r="T144" s="462"/>
    </row>
    <row r="145" spans="1:20" s="458" customFormat="1" ht="11.25">
      <c r="A145" s="438"/>
      <c r="B145" s="440"/>
      <c r="C145" s="454" t="s">
        <v>3562</v>
      </c>
      <c r="D145" s="1002" t="s">
        <v>3666</v>
      </c>
      <c r="E145" s="1002"/>
      <c r="F145" s="1003"/>
      <c r="G145" s="461">
        <v>1329895</v>
      </c>
      <c r="H145" s="561"/>
      <c r="I145" s="461">
        <f>+ROUND('SP Min'!D302+'SP Min'!D303,0)</f>
        <v>1329895</v>
      </c>
      <c r="J145" s="503">
        <f>+ROUND('SP Min'!E302+'SP Min'!E303,0)</f>
        <v>5494678</v>
      </c>
      <c r="K145" s="517">
        <f t="shared" si="17"/>
        <v>-4164783</v>
      </c>
      <c r="L145" s="457">
        <f t="shared" si="16"/>
        <v>-0.75796670887720807</v>
      </c>
      <c r="M145" s="452"/>
      <c r="Q145" s="462"/>
      <c r="R145" s="462"/>
      <c r="S145" s="462"/>
      <c r="T145" s="462"/>
    </row>
    <row r="146" spans="1:20" s="458" customFormat="1" ht="21.6" customHeight="1">
      <c r="A146" s="438"/>
      <c r="B146" s="440"/>
      <c r="C146" s="454" t="s">
        <v>3667</v>
      </c>
      <c r="D146" s="1002" t="s">
        <v>3668</v>
      </c>
      <c r="E146" s="1002"/>
      <c r="F146" s="1003"/>
      <c r="G146" s="560"/>
      <c r="H146" s="561"/>
      <c r="I146" s="503">
        <f>+ROUND('SP Min'!D307,0)</f>
        <v>0</v>
      </c>
      <c r="J146" s="503">
        <f>+ROUND('SP Min'!E307,0)</f>
        <v>0</v>
      </c>
      <c r="K146" s="517">
        <f t="shared" si="17"/>
        <v>0</v>
      </c>
      <c r="L146" s="457" t="str">
        <f t="shared" si="16"/>
        <v xml:space="preserve">-    </v>
      </c>
      <c r="M146" s="452"/>
      <c r="Q146" s="462"/>
      <c r="R146" s="462"/>
      <c r="S146" s="462"/>
      <c r="T146" s="462"/>
    </row>
    <row r="147" spans="1:20" s="458" customFormat="1" ht="11.25">
      <c r="A147" s="438"/>
      <c r="B147" s="440"/>
      <c r="C147" s="454" t="s">
        <v>3669</v>
      </c>
      <c r="D147" s="1002" t="s">
        <v>3670</v>
      </c>
      <c r="E147" s="1002"/>
      <c r="F147" s="1003"/>
      <c r="G147" s="560">
        <v>140235</v>
      </c>
      <c r="H147" s="561"/>
      <c r="I147" s="503">
        <f>+ROUND('SP Min'!D306,0)</f>
        <v>140235</v>
      </c>
      <c r="J147" s="503">
        <f>+ROUND('SP Min'!E306,0)</f>
        <v>149989</v>
      </c>
      <c r="K147" s="517">
        <f t="shared" si="17"/>
        <v>-9754</v>
      </c>
      <c r="L147" s="457">
        <f t="shared" si="16"/>
        <v>-6.5031435638613494E-2</v>
      </c>
      <c r="M147" s="452"/>
      <c r="Q147" s="462"/>
      <c r="R147" s="462"/>
      <c r="S147" s="462"/>
      <c r="T147" s="462"/>
    </row>
    <row r="148" spans="1:20" s="447" customFormat="1" ht="11.25">
      <c r="A148" s="438"/>
      <c r="B148" s="544" t="s">
        <v>3546</v>
      </c>
      <c r="C148" s="544" t="s">
        <v>3671</v>
      </c>
      <c r="D148" s="544"/>
      <c r="E148" s="440"/>
      <c r="F148" s="195"/>
      <c r="G148" s="558">
        <v>77</v>
      </c>
      <c r="H148" s="200"/>
      <c r="I148" s="506">
        <f>+ROUND('SP Min'!D313,0)</f>
        <v>77</v>
      </c>
      <c r="J148" s="506">
        <f>+ROUND('SP Min'!E313,0)</f>
        <v>77</v>
      </c>
      <c r="K148" s="451">
        <f t="shared" si="17"/>
        <v>0</v>
      </c>
      <c r="L148" s="446">
        <f t="shared" si="16"/>
        <v>0</v>
      </c>
      <c r="M148" s="452"/>
      <c r="Q148" s="464"/>
      <c r="R148" s="464"/>
      <c r="S148" s="464"/>
      <c r="T148" s="464"/>
    </row>
    <row r="149" spans="1:20" s="447" customFormat="1" ht="11.25">
      <c r="A149" s="438"/>
      <c r="B149" s="544" t="s">
        <v>3548</v>
      </c>
      <c r="C149" s="195" t="s">
        <v>3672</v>
      </c>
      <c r="D149" s="544"/>
      <c r="E149" s="440"/>
      <c r="F149" s="195"/>
      <c r="G149" s="558">
        <v>7636023</v>
      </c>
      <c r="H149" s="199"/>
      <c r="I149" s="450">
        <f>+ROUND('SP Min'!D317,0)</f>
        <v>7636023</v>
      </c>
      <c r="J149" s="506">
        <f>+ROUND('SP Min'!E317,0)</f>
        <v>8963304</v>
      </c>
      <c r="K149" s="451">
        <f t="shared" si="17"/>
        <v>-1327281</v>
      </c>
      <c r="L149" s="446">
        <f t="shared" si="16"/>
        <v>-0.14807943588658826</v>
      </c>
      <c r="M149" s="452"/>
      <c r="Q149" s="464"/>
      <c r="R149" s="464"/>
      <c r="S149" s="464"/>
      <c r="T149" s="464"/>
    </row>
    <row r="150" spans="1:20" s="447" customFormat="1" ht="11.25">
      <c r="A150" s="438"/>
      <c r="B150" s="544" t="s">
        <v>3550</v>
      </c>
      <c r="C150" s="195" t="s">
        <v>3673</v>
      </c>
      <c r="D150" s="544"/>
      <c r="E150" s="440"/>
      <c r="F150" s="195"/>
      <c r="G150" s="560">
        <v>0</v>
      </c>
      <c r="H150" s="200"/>
      <c r="I150" s="450">
        <f>+ROUND('SP Min'!D324,0)</f>
        <v>0</v>
      </c>
      <c r="J150" s="506">
        <f>+ROUND('SP Min'!E324,0)</f>
        <v>0</v>
      </c>
      <c r="K150" s="451">
        <f t="shared" si="17"/>
        <v>0</v>
      </c>
      <c r="L150" s="446" t="str">
        <f t="shared" si="16"/>
        <v xml:space="preserve">-    </v>
      </c>
      <c r="M150" s="452"/>
      <c r="Q150" s="464"/>
      <c r="R150" s="464"/>
      <c r="S150" s="464"/>
      <c r="T150" s="464"/>
    </row>
    <row r="151" spans="1:20" s="447" customFormat="1" ht="11.25">
      <c r="A151" s="438"/>
      <c r="B151" s="544" t="s">
        <v>3552</v>
      </c>
      <c r="C151" s="195" t="s">
        <v>3674</v>
      </c>
      <c r="D151" s="544"/>
      <c r="E151" s="440"/>
      <c r="F151" s="562"/>
      <c r="G151" s="558">
        <v>2591014</v>
      </c>
      <c r="H151" s="200"/>
      <c r="I151" s="450">
        <f>+ROUND('SP Min'!D325,0)</f>
        <v>2591014</v>
      </c>
      <c r="J151" s="506">
        <f>+ROUND('SP Min'!E325,0)</f>
        <v>2391236</v>
      </c>
      <c r="K151" s="451">
        <f t="shared" si="17"/>
        <v>199778</v>
      </c>
      <c r="L151" s="446">
        <f t="shared" si="16"/>
        <v>8.3545915166884407E-2</v>
      </c>
      <c r="M151" s="452"/>
      <c r="Q151" s="464"/>
      <c r="R151" s="464"/>
      <c r="S151" s="464"/>
      <c r="T151" s="464"/>
    </row>
    <row r="152" spans="1:20" s="447" customFormat="1" ht="11.25">
      <c r="A152" s="563"/>
      <c r="B152" s="564" t="s">
        <v>3675</v>
      </c>
      <c r="C152" s="195" t="s">
        <v>3676</v>
      </c>
      <c r="D152" s="564"/>
      <c r="E152" s="426"/>
      <c r="F152" s="562"/>
      <c r="G152" s="560">
        <v>0</v>
      </c>
      <c r="H152" s="198"/>
      <c r="I152" s="450">
        <f>+ROUND('SP Min'!D328,0)</f>
        <v>0</v>
      </c>
      <c r="J152" s="506">
        <f>+ROUND('SP Min'!E328,0)</f>
        <v>0</v>
      </c>
      <c r="K152" s="451">
        <f t="shared" si="17"/>
        <v>0</v>
      </c>
      <c r="L152" s="446" t="str">
        <f t="shared" si="16"/>
        <v xml:space="preserve">-    </v>
      </c>
      <c r="M152" s="452"/>
      <c r="Q152" s="464"/>
      <c r="R152" s="464"/>
      <c r="S152" s="464"/>
      <c r="T152" s="464"/>
    </row>
    <row r="153" spans="1:20" s="447" customFormat="1" ht="11.25">
      <c r="A153" s="438"/>
      <c r="B153" s="544" t="s">
        <v>3677</v>
      </c>
      <c r="C153" s="195" t="s">
        <v>3678</v>
      </c>
      <c r="D153" s="544"/>
      <c r="E153" s="440"/>
      <c r="F153" s="195"/>
      <c r="G153" s="558">
        <v>2204254</v>
      </c>
      <c r="H153" s="200"/>
      <c r="I153" s="450">
        <f>+ROUND(+'SP Min'!D326,0)</f>
        <v>2204254</v>
      </c>
      <c r="J153" s="506">
        <f>+ROUND(+'SP Min'!E326,0)</f>
        <v>2061812</v>
      </c>
      <c r="K153" s="451">
        <f t="shared" si="17"/>
        <v>142442</v>
      </c>
      <c r="L153" s="446">
        <f t="shared" si="16"/>
        <v>6.908583323794798E-2</v>
      </c>
      <c r="M153" s="452"/>
      <c r="Q153" s="464"/>
      <c r="R153" s="464"/>
      <c r="S153" s="464"/>
      <c r="T153" s="464"/>
    </row>
    <row r="154" spans="1:20" s="447" customFormat="1" ht="11.25">
      <c r="A154" s="438"/>
      <c r="B154" s="544" t="s">
        <v>3679</v>
      </c>
      <c r="C154" s="195" t="s">
        <v>3680</v>
      </c>
      <c r="D154" s="544"/>
      <c r="E154" s="440"/>
      <c r="F154" s="441"/>
      <c r="G154" s="565">
        <v>6406210</v>
      </c>
      <c r="H154" s="566">
        <v>127569</v>
      </c>
      <c r="I154" s="450">
        <f>+ROUND('SP Min'!D331+'SP Min'!D329+'SP Min'!D330,0)</f>
        <v>6533779</v>
      </c>
      <c r="J154" s="506">
        <f>+ROUND('SP Min'!E331+'SP Min'!E329+'SP Min'!E330,0)</f>
        <v>5913796</v>
      </c>
      <c r="K154" s="451">
        <f t="shared" si="17"/>
        <v>619983</v>
      </c>
      <c r="L154" s="446">
        <f t="shared" si="16"/>
        <v>0.10483672416160449</v>
      </c>
      <c r="M154" s="452"/>
      <c r="Q154" s="464"/>
      <c r="R154" s="464"/>
      <c r="S154" s="464"/>
      <c r="T154" s="464"/>
    </row>
    <row r="155" spans="1:20" s="447" customFormat="1" ht="11.25">
      <c r="A155" s="1004" t="s">
        <v>3626</v>
      </c>
      <c r="B155" s="1005"/>
      <c r="C155" s="1005"/>
      <c r="D155" s="1005"/>
      <c r="E155" s="1005"/>
      <c r="F155" s="1005"/>
      <c r="G155" s="1006"/>
      <c r="H155" s="1007"/>
      <c r="I155" s="483">
        <f>SUM(I137:I141)+SUM(I148:I154)</f>
        <v>21988736</v>
      </c>
      <c r="J155" s="483">
        <f>SUM(J137:J141)+SUM(J148:J154)</f>
        <v>28762966</v>
      </c>
      <c r="K155" s="547">
        <f t="shared" si="17"/>
        <v>-6774230</v>
      </c>
      <c r="L155" s="173">
        <f t="shared" si="16"/>
        <v>-0.23551917420477428</v>
      </c>
      <c r="M155" s="452"/>
      <c r="Q155" s="464"/>
      <c r="R155" s="464"/>
      <c r="S155" s="464"/>
      <c r="T155" s="464"/>
    </row>
    <row r="156" spans="1:20" s="447" customFormat="1" ht="11.25">
      <c r="A156" s="548" t="s">
        <v>96</v>
      </c>
      <c r="B156" s="195" t="s">
        <v>3681</v>
      </c>
      <c r="C156" s="544"/>
      <c r="D156" s="544"/>
      <c r="E156" s="440"/>
      <c r="F156" s="441"/>
      <c r="G156" s="549"/>
      <c r="H156" s="200"/>
      <c r="I156" s="541"/>
      <c r="J156" s="541"/>
      <c r="K156" s="451">
        <f t="shared" si="17"/>
        <v>0</v>
      </c>
      <c r="L156" s="186" t="str">
        <f t="shared" si="16"/>
        <v xml:space="preserve">-    </v>
      </c>
      <c r="M156" s="452"/>
      <c r="Q156" s="464"/>
      <c r="R156" s="464"/>
      <c r="S156" s="464"/>
      <c r="T156" s="464"/>
    </row>
    <row r="157" spans="1:20" s="447" customFormat="1" ht="11.25">
      <c r="A157" s="548"/>
      <c r="B157" s="544" t="s">
        <v>85</v>
      </c>
      <c r="C157" s="195" t="s">
        <v>3682</v>
      </c>
      <c r="D157" s="544"/>
      <c r="E157" s="440"/>
      <c r="F157" s="449"/>
      <c r="G157" s="442"/>
      <c r="H157" s="200"/>
      <c r="I157" s="506">
        <f>+ROUND(+'SP Min'!D333,0)</f>
        <v>7071</v>
      </c>
      <c r="J157" s="506">
        <f>+ROUND(+'SP Min'!E333,0)</f>
        <v>15795</v>
      </c>
      <c r="K157" s="517">
        <f t="shared" si="17"/>
        <v>-8724</v>
      </c>
      <c r="L157" s="457">
        <f t="shared" si="16"/>
        <v>-0.55232668566001897</v>
      </c>
      <c r="M157" s="452"/>
      <c r="Q157" s="464"/>
      <c r="R157" s="464"/>
      <c r="S157" s="464"/>
      <c r="T157" s="464"/>
    </row>
    <row r="158" spans="1:20" s="447" customFormat="1" ht="11.25">
      <c r="A158" s="548"/>
      <c r="B158" s="544" t="s">
        <v>87</v>
      </c>
      <c r="C158" s="195" t="s">
        <v>3683</v>
      </c>
      <c r="D158" s="544"/>
      <c r="E158" s="440"/>
      <c r="F158" s="441"/>
      <c r="G158" s="550"/>
      <c r="H158" s="200"/>
      <c r="I158" s="506">
        <f>+ROUND(+'SP Min'!D336,0)</f>
        <v>0</v>
      </c>
      <c r="J158" s="506">
        <f>+ROUND(+'SP Min'!E336,0)</f>
        <v>0</v>
      </c>
      <c r="K158" s="517">
        <f t="shared" si="17"/>
        <v>0</v>
      </c>
      <c r="L158" s="457" t="str">
        <f t="shared" si="16"/>
        <v xml:space="preserve">-    </v>
      </c>
      <c r="M158" s="452"/>
      <c r="Q158" s="464"/>
      <c r="R158" s="464"/>
      <c r="S158" s="464"/>
      <c r="T158" s="464"/>
    </row>
    <row r="159" spans="1:20" s="447" customFormat="1" ht="11.25">
      <c r="A159" s="1004" t="s">
        <v>3684</v>
      </c>
      <c r="B159" s="1005"/>
      <c r="C159" s="1005"/>
      <c r="D159" s="1005"/>
      <c r="E159" s="1005"/>
      <c r="F159" s="1005"/>
      <c r="G159" s="1008"/>
      <c r="H159" s="1007"/>
      <c r="I159" s="483">
        <f>SUM(I157:I158)</f>
        <v>7071</v>
      </c>
      <c r="J159" s="483">
        <f>SUM(J157:J158)</f>
        <v>15795</v>
      </c>
      <c r="K159" s="547">
        <f t="shared" si="17"/>
        <v>-8724</v>
      </c>
      <c r="L159" s="173">
        <f t="shared" si="16"/>
        <v>-0.55232668566001897</v>
      </c>
      <c r="M159" s="452"/>
      <c r="Q159" s="464"/>
      <c r="R159" s="464"/>
      <c r="S159" s="464"/>
      <c r="T159" s="464"/>
    </row>
    <row r="160" spans="1:20" s="447" customFormat="1" ht="12" thickBot="1">
      <c r="A160" s="438"/>
      <c r="B160" s="440"/>
      <c r="C160" s="440"/>
      <c r="D160" s="440"/>
      <c r="E160" s="440"/>
      <c r="F160" s="449"/>
      <c r="G160" s="549"/>
      <c r="H160" s="200"/>
      <c r="I160" s="541"/>
      <c r="J160" s="541"/>
      <c r="K160" s="451">
        <f t="shared" si="17"/>
        <v>0</v>
      </c>
      <c r="L160" s="186" t="str">
        <f t="shared" si="16"/>
        <v xml:space="preserve">-    </v>
      </c>
      <c r="M160" s="452"/>
      <c r="Q160" s="464"/>
      <c r="R160" s="464"/>
      <c r="S160" s="464"/>
      <c r="T160" s="464"/>
    </row>
    <row r="161" spans="1:20" s="447" customFormat="1" ht="12" thickBot="1">
      <c r="A161" s="1009" t="s">
        <v>3685</v>
      </c>
      <c r="B161" s="1010"/>
      <c r="C161" s="1010"/>
      <c r="D161" s="1010"/>
      <c r="E161" s="1010"/>
      <c r="F161" s="1010"/>
      <c r="G161" s="1010"/>
      <c r="H161" s="1011"/>
      <c r="I161" s="518">
        <f>I123+I130+I134+I155+I159</f>
        <v>103726944</v>
      </c>
      <c r="J161" s="518">
        <f>J123+J130+J134+J155+J159</f>
        <v>113602319</v>
      </c>
      <c r="K161" s="567">
        <f t="shared" si="17"/>
        <v>-9875375</v>
      </c>
      <c r="L161" s="174">
        <f t="shared" si="16"/>
        <v>-8.6929343405392989E-2</v>
      </c>
      <c r="M161" s="452"/>
      <c r="Q161" s="464"/>
      <c r="R161" s="464"/>
      <c r="S161" s="464"/>
      <c r="T161" s="464"/>
    </row>
    <row r="162" spans="1:20" s="447" customFormat="1" ht="11.25">
      <c r="A162" s="548" t="s">
        <v>3686</v>
      </c>
      <c r="B162" s="195" t="s">
        <v>3620</v>
      </c>
      <c r="C162" s="544"/>
      <c r="D162" s="544"/>
      <c r="E162" s="544"/>
      <c r="F162" s="564"/>
      <c r="G162" s="491"/>
      <c r="H162" s="512"/>
      <c r="I162" s="513"/>
      <c r="J162" s="513"/>
      <c r="K162" s="451" t="s">
        <v>3687</v>
      </c>
      <c r="L162" s="186" t="s">
        <v>3687</v>
      </c>
      <c r="M162" s="452"/>
      <c r="Q162" s="464"/>
      <c r="R162" s="464"/>
      <c r="S162" s="464"/>
      <c r="T162" s="464"/>
    </row>
    <row r="163" spans="1:20" s="447" customFormat="1" ht="11.25">
      <c r="A163" s="548"/>
      <c r="B163" s="544" t="s">
        <v>3621</v>
      </c>
      <c r="C163" s="195" t="s">
        <v>3622</v>
      </c>
      <c r="D163" s="544"/>
      <c r="E163" s="544"/>
      <c r="F163" s="449"/>
      <c r="G163" s="491"/>
      <c r="H163" s="512"/>
      <c r="I163" s="506">
        <f>+ROUND(+'SP Min'!D342,0)</f>
        <v>22160</v>
      </c>
      <c r="J163" s="506">
        <f>+ROUND(+'SP Min'!E342,0)</f>
        <v>66479</v>
      </c>
      <c r="K163" s="517">
        <f t="shared" si="17"/>
        <v>-44319</v>
      </c>
      <c r="L163" s="457">
        <f t="shared" si="16"/>
        <v>-0.66666165255193366</v>
      </c>
      <c r="M163" s="452"/>
      <c r="Q163" s="464"/>
      <c r="R163" s="464"/>
      <c r="S163" s="464"/>
      <c r="T163" s="464"/>
    </row>
    <row r="164" spans="1:20" s="447" customFormat="1" ht="11.25">
      <c r="A164" s="548"/>
      <c r="B164" s="544" t="s">
        <v>87</v>
      </c>
      <c r="C164" s="449" t="s">
        <v>3623</v>
      </c>
      <c r="D164" s="544"/>
      <c r="E164" s="544"/>
      <c r="F164" s="564"/>
      <c r="G164" s="491"/>
      <c r="H164" s="512"/>
      <c r="I164" s="506">
        <f>+ROUND(+'SP Min'!D343,0)</f>
        <v>0</v>
      </c>
      <c r="J164" s="506">
        <f>+ROUND(+'SP Min'!E343,0)</f>
        <v>0</v>
      </c>
      <c r="K164" s="517">
        <f t="shared" si="17"/>
        <v>0</v>
      </c>
      <c r="L164" s="457" t="str">
        <f t="shared" si="16"/>
        <v xml:space="preserve">-    </v>
      </c>
      <c r="M164" s="452"/>
      <c r="Q164" s="464"/>
      <c r="R164" s="464"/>
      <c r="S164" s="464"/>
      <c r="T164" s="464"/>
    </row>
    <row r="165" spans="1:20" s="447" customFormat="1" ht="11.25">
      <c r="A165" s="548"/>
      <c r="B165" s="449" t="s">
        <v>115</v>
      </c>
      <c r="C165" s="544" t="s">
        <v>3624</v>
      </c>
      <c r="D165" s="544"/>
      <c r="E165" s="544"/>
      <c r="F165" s="564"/>
      <c r="G165" s="491"/>
      <c r="H165" s="512"/>
      <c r="I165" s="506">
        <f>+ROUND(+'SP Min'!D344,0)</f>
        <v>1463350</v>
      </c>
      <c r="J165" s="506">
        <f>+ROUND(+'SP Min'!E344,0)</f>
        <v>1463350</v>
      </c>
      <c r="K165" s="517">
        <f t="shared" si="17"/>
        <v>0</v>
      </c>
      <c r="L165" s="457">
        <f t="shared" si="16"/>
        <v>0</v>
      </c>
      <c r="M165" s="452"/>
      <c r="Q165" s="464"/>
      <c r="R165" s="464"/>
      <c r="S165" s="464"/>
      <c r="T165" s="464"/>
    </row>
    <row r="166" spans="1:20" s="447" customFormat="1" ht="11.25">
      <c r="A166" s="548"/>
      <c r="B166" s="544" t="s">
        <v>3530</v>
      </c>
      <c r="C166" s="195" t="s">
        <v>3625</v>
      </c>
      <c r="D166" s="544"/>
      <c r="E166" s="544"/>
      <c r="F166" s="449"/>
      <c r="G166" s="514"/>
      <c r="H166" s="512"/>
      <c r="I166" s="506">
        <f>+ROUND(+'SP Min'!D345+'SP Min'!D346,0)</f>
        <v>1277134</v>
      </c>
      <c r="J166" s="506">
        <f>+ROUND(+'SP Min'!E345+'SP Min'!E346,0)</f>
        <v>1277134</v>
      </c>
      <c r="K166" s="517">
        <f t="shared" si="17"/>
        <v>0</v>
      </c>
      <c r="L166" s="457">
        <f t="shared" si="16"/>
        <v>0</v>
      </c>
      <c r="M166" s="452"/>
      <c r="Q166" s="464"/>
      <c r="R166" s="464"/>
      <c r="S166" s="464"/>
      <c r="T166" s="464"/>
    </row>
    <row r="167" spans="1:20" s="447" customFormat="1" ht="12" thickBot="1">
      <c r="A167" s="998" t="s">
        <v>3688</v>
      </c>
      <c r="B167" s="999"/>
      <c r="C167" s="999"/>
      <c r="D167" s="999"/>
      <c r="E167" s="999"/>
      <c r="F167" s="999"/>
      <c r="G167" s="1000"/>
      <c r="H167" s="1001"/>
      <c r="I167" s="521">
        <f>SUM(I163:I166)</f>
        <v>2762644</v>
      </c>
      <c r="J167" s="521">
        <f>SUM(J163:J166)</f>
        <v>2806963</v>
      </c>
      <c r="K167" s="522">
        <f t="shared" si="17"/>
        <v>-44319</v>
      </c>
      <c r="L167" s="523">
        <f t="shared" si="16"/>
        <v>-1.5788950549045357E-2</v>
      </c>
      <c r="M167" s="452"/>
      <c r="Q167" s="464"/>
      <c r="R167" s="464"/>
      <c r="S167" s="464"/>
      <c r="T167" s="464"/>
    </row>
    <row r="168" spans="1:20" s="458" customFormat="1" ht="11.25">
      <c r="A168" s="568"/>
      <c r="B168" s="568"/>
      <c r="C168" s="568"/>
      <c r="D168" s="568"/>
      <c r="E168" s="568"/>
      <c r="I168" s="569"/>
      <c r="J168" s="569"/>
      <c r="K168" s="570"/>
      <c r="L168" s="571"/>
    </row>
    <row r="169" spans="1:20" s="458" customFormat="1" ht="11.25">
      <c r="A169" s="568"/>
      <c r="B169" s="568"/>
      <c r="C169" s="568"/>
      <c r="D169" s="568"/>
      <c r="E169" s="568"/>
      <c r="F169" s="572" t="s">
        <v>3687</v>
      </c>
      <c r="I169" s="569"/>
      <c r="J169" s="569"/>
      <c r="K169" s="570"/>
      <c r="L169" s="571"/>
    </row>
    <row r="170" spans="1:20" s="458" customFormat="1" ht="11.25">
      <c r="A170" s="568"/>
      <c r="B170" s="568"/>
      <c r="C170" s="568"/>
      <c r="D170" s="568"/>
      <c r="E170" s="568"/>
      <c r="I170" s="569"/>
      <c r="J170" s="569"/>
      <c r="K170" s="570"/>
      <c r="L170" s="571"/>
    </row>
    <row r="171" spans="1:20" s="458" customFormat="1" ht="11.25">
      <c r="A171" s="568"/>
      <c r="B171" s="568"/>
      <c r="C171" s="568"/>
      <c r="D171" s="568"/>
      <c r="E171" s="568"/>
      <c r="I171" s="569"/>
      <c r="J171" s="569"/>
      <c r="K171" s="570"/>
      <c r="L171" s="571"/>
    </row>
    <row r="172" spans="1:20" s="458" customFormat="1" ht="11.25">
      <c r="A172" s="568"/>
      <c r="B172" s="568"/>
      <c r="C172" s="568"/>
      <c r="D172" s="568"/>
      <c r="E172" s="568"/>
      <c r="I172" s="569"/>
      <c r="J172" s="569"/>
      <c r="K172" s="570"/>
      <c r="L172" s="571"/>
    </row>
    <row r="173" spans="1:20" s="458" customFormat="1" ht="11.25">
      <c r="A173" s="568"/>
      <c r="B173" s="568"/>
      <c r="C173" s="568"/>
      <c r="D173" s="568"/>
      <c r="E173" s="568"/>
      <c r="I173" s="569"/>
      <c r="J173" s="569"/>
      <c r="K173" s="570"/>
      <c r="L173" s="571"/>
    </row>
    <row r="174" spans="1:20" s="458" customFormat="1" ht="11.25">
      <c r="A174" s="568"/>
      <c r="B174" s="568"/>
      <c r="C174" s="568"/>
      <c r="D174" s="568"/>
      <c r="E174" s="568"/>
      <c r="I174" s="569"/>
      <c r="J174" s="569"/>
      <c r="K174" s="570"/>
      <c r="L174" s="571"/>
    </row>
    <row r="175" spans="1:20" s="458" customFormat="1" ht="11.25">
      <c r="A175" s="568"/>
      <c r="B175" s="568"/>
      <c r="C175" s="568"/>
      <c r="D175" s="568"/>
      <c r="E175" s="568"/>
      <c r="I175" s="569"/>
      <c r="J175" s="569"/>
      <c r="K175" s="570"/>
      <c r="L175" s="571"/>
    </row>
    <row r="176" spans="1:20" s="458" customFormat="1" ht="11.25">
      <c r="A176" s="568"/>
      <c r="B176" s="568"/>
      <c r="C176" s="568"/>
      <c r="D176" s="568"/>
      <c r="E176" s="568"/>
      <c r="I176" s="569"/>
      <c r="J176" s="569"/>
      <c r="K176" s="570"/>
      <c r="L176" s="571"/>
    </row>
    <row r="177" spans="1:12" s="458" customFormat="1" ht="11.25">
      <c r="A177" s="568"/>
      <c r="B177" s="568"/>
      <c r="C177" s="568"/>
      <c r="D177" s="568"/>
      <c r="E177" s="568"/>
      <c r="I177" s="569"/>
      <c r="J177" s="569"/>
      <c r="K177" s="570"/>
      <c r="L177" s="571"/>
    </row>
    <row r="178" spans="1:12" s="458" customFormat="1" ht="11.25">
      <c r="A178" s="568"/>
      <c r="B178" s="568"/>
      <c r="C178" s="568"/>
      <c r="D178" s="568"/>
      <c r="E178" s="568"/>
      <c r="I178" s="569"/>
      <c r="J178" s="569"/>
      <c r="K178" s="570"/>
      <c r="L178" s="571"/>
    </row>
    <row r="179" spans="1:12" s="458" customFormat="1" ht="11.25">
      <c r="A179" s="568"/>
      <c r="B179" s="568"/>
      <c r="C179" s="568"/>
      <c r="D179" s="568"/>
      <c r="E179" s="568"/>
      <c r="I179" s="569"/>
      <c r="J179" s="569"/>
      <c r="K179" s="570"/>
      <c r="L179" s="571"/>
    </row>
    <row r="180" spans="1:12" s="458" customFormat="1" ht="11.25">
      <c r="A180" s="568"/>
      <c r="B180" s="568"/>
      <c r="C180" s="568"/>
      <c r="D180" s="568"/>
      <c r="E180" s="568"/>
      <c r="I180" s="569"/>
      <c r="J180" s="569"/>
      <c r="K180" s="570"/>
      <c r="L180" s="571"/>
    </row>
    <row r="181" spans="1:12" s="458" customFormat="1" ht="11.25">
      <c r="A181" s="568"/>
      <c r="B181" s="568"/>
      <c r="C181" s="568"/>
      <c r="D181" s="568"/>
      <c r="E181" s="568"/>
      <c r="I181" s="569"/>
      <c r="J181" s="569"/>
      <c r="K181" s="570"/>
      <c r="L181" s="571"/>
    </row>
    <row r="182" spans="1:12" s="458" customFormat="1" ht="11.25">
      <c r="A182" s="568"/>
      <c r="B182" s="568"/>
      <c r="C182" s="568"/>
      <c r="D182" s="568"/>
      <c r="E182" s="568"/>
      <c r="I182" s="569"/>
      <c r="J182" s="569"/>
      <c r="K182" s="570"/>
      <c r="L182" s="571"/>
    </row>
    <row r="183" spans="1:12" s="458" customFormat="1" ht="11.25">
      <c r="A183" s="568"/>
      <c r="B183" s="568"/>
      <c r="C183" s="568"/>
      <c r="D183" s="568"/>
      <c r="E183" s="568"/>
      <c r="I183" s="569"/>
      <c r="J183" s="569"/>
      <c r="K183" s="570"/>
      <c r="L183" s="571"/>
    </row>
    <row r="184" spans="1:12" s="458" customFormat="1" ht="11.25">
      <c r="A184" s="568"/>
      <c r="B184" s="568"/>
      <c r="C184" s="568"/>
      <c r="D184" s="568"/>
      <c r="E184" s="568"/>
      <c r="I184" s="569"/>
      <c r="J184" s="569"/>
      <c r="K184" s="570"/>
      <c r="L184" s="571"/>
    </row>
    <row r="185" spans="1:12" s="458" customFormat="1" ht="11.25">
      <c r="A185" s="568"/>
      <c r="B185" s="568"/>
      <c r="C185" s="568"/>
      <c r="D185" s="568"/>
      <c r="E185" s="568"/>
      <c r="I185" s="569"/>
      <c r="J185" s="569"/>
      <c r="K185" s="570"/>
      <c r="L185" s="571"/>
    </row>
    <row r="186" spans="1:12" s="458" customFormat="1" ht="11.25">
      <c r="A186" s="568"/>
      <c r="B186" s="568"/>
      <c r="C186" s="568"/>
      <c r="D186" s="568"/>
      <c r="E186" s="568"/>
      <c r="I186" s="569"/>
      <c r="J186" s="569"/>
      <c r="K186" s="570"/>
      <c r="L186" s="571"/>
    </row>
    <row r="187" spans="1:12" s="458" customFormat="1" ht="11.25">
      <c r="A187" s="568"/>
      <c r="B187" s="568"/>
      <c r="C187" s="568"/>
      <c r="D187" s="568"/>
      <c r="E187" s="568"/>
      <c r="I187" s="569"/>
      <c r="J187" s="569"/>
      <c r="K187" s="570"/>
      <c r="L187" s="571"/>
    </row>
    <row r="188" spans="1:12" s="458" customFormat="1" ht="11.25">
      <c r="A188" s="568"/>
      <c r="B188" s="568"/>
      <c r="C188" s="568"/>
      <c r="D188" s="568"/>
      <c r="E188" s="568"/>
      <c r="I188" s="569"/>
      <c r="J188" s="569"/>
      <c r="K188" s="570"/>
      <c r="L188" s="571"/>
    </row>
    <row r="189" spans="1:12" s="458" customFormat="1" ht="11.25">
      <c r="A189" s="568"/>
      <c r="B189" s="568"/>
      <c r="C189" s="568"/>
      <c r="D189" s="568"/>
      <c r="E189" s="568"/>
      <c r="I189" s="569"/>
      <c r="J189" s="569"/>
      <c r="K189" s="570"/>
      <c r="L189" s="571"/>
    </row>
    <row r="190" spans="1:12" s="458" customFormat="1" ht="11.25">
      <c r="A190" s="568"/>
      <c r="B190" s="568"/>
      <c r="C190" s="568"/>
      <c r="D190" s="568"/>
      <c r="E190" s="568"/>
      <c r="I190" s="569"/>
      <c r="J190" s="569"/>
      <c r="K190" s="570"/>
      <c r="L190" s="571"/>
    </row>
    <row r="191" spans="1:12" s="458" customFormat="1" ht="11.25">
      <c r="A191" s="568"/>
      <c r="B191" s="568"/>
      <c r="C191" s="568"/>
      <c r="D191" s="568"/>
      <c r="E191" s="568"/>
      <c r="I191" s="569"/>
      <c r="J191" s="569"/>
      <c r="K191" s="570"/>
      <c r="L191" s="571"/>
    </row>
    <row r="192" spans="1:12" s="458" customFormat="1" ht="11.25">
      <c r="A192" s="568"/>
      <c r="B192" s="568"/>
      <c r="C192" s="568"/>
      <c r="D192" s="568"/>
      <c r="E192" s="568"/>
      <c r="I192" s="569"/>
      <c r="J192" s="569"/>
      <c r="K192" s="570"/>
      <c r="L192" s="571"/>
    </row>
    <row r="193" spans="1:12" s="458" customFormat="1" ht="11.25">
      <c r="A193" s="568"/>
      <c r="B193" s="568"/>
      <c r="C193" s="568"/>
      <c r="D193" s="568"/>
      <c r="E193" s="568"/>
      <c r="I193" s="569"/>
      <c r="J193" s="569"/>
      <c r="K193" s="570"/>
      <c r="L193" s="571"/>
    </row>
    <row r="194" spans="1:12" s="458" customFormat="1" ht="11.25">
      <c r="A194" s="568"/>
      <c r="B194" s="568"/>
      <c r="C194" s="568"/>
      <c r="D194" s="568"/>
      <c r="E194" s="568"/>
      <c r="I194" s="569"/>
      <c r="J194" s="569"/>
      <c r="K194" s="570"/>
      <c r="L194" s="571"/>
    </row>
    <row r="195" spans="1:12" s="458" customFormat="1" ht="11.25">
      <c r="A195" s="568"/>
      <c r="B195" s="568"/>
      <c r="C195" s="568"/>
      <c r="D195" s="568"/>
      <c r="E195" s="568"/>
      <c r="I195" s="569"/>
      <c r="J195" s="569"/>
      <c r="K195" s="570"/>
      <c r="L195" s="571"/>
    </row>
    <row r="196" spans="1:12" s="458" customFormat="1" ht="11.25">
      <c r="A196" s="568"/>
      <c r="B196" s="568"/>
      <c r="C196" s="568"/>
      <c r="D196" s="568"/>
      <c r="E196" s="568"/>
      <c r="I196" s="569"/>
      <c r="J196" s="569"/>
      <c r="K196" s="570"/>
      <c r="L196" s="571"/>
    </row>
    <row r="197" spans="1:12" s="458" customFormat="1" ht="11.25">
      <c r="A197" s="568"/>
      <c r="B197" s="568"/>
      <c r="C197" s="568"/>
      <c r="D197" s="568"/>
      <c r="E197" s="568"/>
      <c r="I197" s="569"/>
      <c r="J197" s="569"/>
      <c r="K197" s="570"/>
      <c r="L197" s="571"/>
    </row>
    <row r="198" spans="1:12" s="458" customFormat="1" ht="11.25">
      <c r="A198" s="568"/>
      <c r="B198" s="568"/>
      <c r="C198" s="568"/>
      <c r="D198" s="568"/>
      <c r="E198" s="568"/>
      <c r="I198" s="569"/>
      <c r="J198" s="569"/>
      <c r="K198" s="570"/>
      <c r="L198" s="571"/>
    </row>
    <row r="199" spans="1:12" s="458" customFormat="1" ht="11.25">
      <c r="A199" s="568"/>
      <c r="B199" s="568"/>
      <c r="C199" s="568"/>
      <c r="D199" s="568"/>
      <c r="E199" s="568"/>
      <c r="I199" s="569"/>
      <c r="J199" s="569"/>
      <c r="K199" s="570"/>
      <c r="L199" s="571"/>
    </row>
    <row r="200" spans="1:12" s="458" customFormat="1" ht="11.25">
      <c r="A200" s="568"/>
      <c r="B200" s="568"/>
      <c r="C200" s="568"/>
      <c r="D200" s="568"/>
      <c r="E200" s="568"/>
      <c r="I200" s="569"/>
      <c r="J200" s="569"/>
      <c r="K200" s="570"/>
      <c r="L200" s="571"/>
    </row>
    <row r="201" spans="1:12" s="458" customFormat="1" ht="11.25">
      <c r="A201" s="568"/>
      <c r="B201" s="568"/>
      <c r="C201" s="568"/>
      <c r="D201" s="568"/>
      <c r="E201" s="568"/>
      <c r="I201" s="569"/>
      <c r="J201" s="569"/>
      <c r="K201" s="570"/>
      <c r="L201" s="571"/>
    </row>
    <row r="202" spans="1:12" s="458" customFormat="1" ht="11.25">
      <c r="A202" s="568"/>
      <c r="B202" s="568"/>
      <c r="C202" s="568"/>
      <c r="D202" s="568"/>
      <c r="E202" s="568"/>
      <c r="I202" s="569"/>
      <c r="J202" s="569"/>
      <c r="K202" s="570"/>
      <c r="L202" s="571"/>
    </row>
    <row r="203" spans="1:12" s="458" customFormat="1" ht="11.25">
      <c r="A203" s="568"/>
      <c r="B203" s="568"/>
      <c r="C203" s="568"/>
      <c r="D203" s="568"/>
      <c r="E203" s="568"/>
      <c r="I203" s="569"/>
      <c r="J203" s="569"/>
      <c r="K203" s="570"/>
      <c r="L203" s="571"/>
    </row>
    <row r="204" spans="1:12" s="458" customFormat="1" ht="11.25">
      <c r="A204" s="568"/>
      <c r="B204" s="568"/>
      <c r="C204" s="568"/>
      <c r="D204" s="568"/>
      <c r="E204" s="568"/>
      <c r="I204" s="569"/>
      <c r="J204" s="569"/>
      <c r="K204" s="570"/>
      <c r="L204" s="571"/>
    </row>
    <row r="205" spans="1:12" s="458" customFormat="1" ht="11.25">
      <c r="A205" s="568"/>
      <c r="B205" s="568"/>
      <c r="C205" s="568"/>
      <c r="D205" s="568"/>
      <c r="E205" s="568"/>
      <c r="I205" s="569"/>
      <c r="J205" s="569"/>
      <c r="K205" s="570"/>
      <c r="L205" s="571"/>
    </row>
    <row r="206" spans="1:12" s="458" customFormat="1" ht="11.25">
      <c r="A206" s="568"/>
      <c r="B206" s="568"/>
      <c r="C206" s="568"/>
      <c r="D206" s="568"/>
      <c r="E206" s="568"/>
      <c r="I206" s="569"/>
      <c r="J206" s="569"/>
      <c r="K206" s="570"/>
      <c r="L206" s="571"/>
    </row>
    <row r="207" spans="1:12" s="458" customFormat="1" ht="11.25">
      <c r="A207" s="568"/>
      <c r="B207" s="568"/>
      <c r="C207" s="568"/>
      <c r="D207" s="568"/>
      <c r="E207" s="568"/>
      <c r="I207" s="569"/>
      <c r="J207" s="569"/>
      <c r="K207" s="570"/>
      <c r="L207" s="571"/>
    </row>
    <row r="208" spans="1:12" s="458" customFormat="1" ht="11.25">
      <c r="A208" s="568"/>
      <c r="B208" s="568"/>
      <c r="C208" s="568"/>
      <c r="D208" s="568"/>
      <c r="E208" s="568"/>
      <c r="I208" s="569"/>
      <c r="J208" s="569"/>
      <c r="K208" s="570"/>
      <c r="L208" s="571"/>
    </row>
    <row r="209" spans="1:12" s="458" customFormat="1" ht="11.25">
      <c r="A209" s="568"/>
      <c r="B209" s="568"/>
      <c r="C209" s="568"/>
      <c r="D209" s="568"/>
      <c r="E209" s="568"/>
      <c r="I209" s="569"/>
      <c r="J209" s="569"/>
      <c r="K209" s="570"/>
      <c r="L209" s="571"/>
    </row>
    <row r="210" spans="1:12" s="458" customFormat="1" ht="11.25">
      <c r="A210" s="568"/>
      <c r="B210" s="568"/>
      <c r="C210" s="568"/>
      <c r="D210" s="568"/>
      <c r="E210" s="568"/>
      <c r="I210" s="569"/>
      <c r="J210" s="569"/>
      <c r="K210" s="570"/>
      <c r="L210" s="571"/>
    </row>
    <row r="211" spans="1:12" s="458" customFormat="1" ht="11.25">
      <c r="A211" s="568"/>
      <c r="B211" s="568"/>
      <c r="C211" s="568"/>
      <c r="D211" s="568"/>
      <c r="E211" s="568"/>
      <c r="I211" s="569"/>
      <c r="J211" s="569"/>
      <c r="K211" s="570"/>
      <c r="L211" s="571"/>
    </row>
    <row r="212" spans="1:12" s="458" customFormat="1" ht="11.25">
      <c r="A212" s="568"/>
      <c r="B212" s="568"/>
      <c r="C212" s="568"/>
      <c r="D212" s="568"/>
      <c r="E212" s="568"/>
      <c r="I212" s="569"/>
      <c r="J212" s="569"/>
      <c r="K212" s="570"/>
      <c r="L212" s="571"/>
    </row>
    <row r="213" spans="1:12" s="458" customFormat="1" ht="11.25">
      <c r="A213" s="568"/>
      <c r="B213" s="568"/>
      <c r="C213" s="568"/>
      <c r="D213" s="568"/>
      <c r="E213" s="568"/>
      <c r="I213" s="569"/>
      <c r="J213" s="569"/>
      <c r="K213" s="570"/>
      <c r="L213" s="571"/>
    </row>
    <row r="214" spans="1:12" s="458" customFormat="1" ht="11.25">
      <c r="A214" s="568"/>
      <c r="B214" s="568"/>
      <c r="C214" s="568"/>
      <c r="D214" s="568"/>
      <c r="E214" s="568"/>
      <c r="I214" s="569"/>
      <c r="J214" s="569"/>
      <c r="K214" s="570"/>
      <c r="L214" s="571"/>
    </row>
    <row r="215" spans="1:12" s="458" customFormat="1" ht="11.25">
      <c r="A215" s="568"/>
      <c r="B215" s="568"/>
      <c r="C215" s="568"/>
      <c r="D215" s="568"/>
      <c r="E215" s="568"/>
      <c r="I215" s="569"/>
      <c r="J215" s="569"/>
      <c r="K215" s="570"/>
      <c r="L215" s="571"/>
    </row>
    <row r="216" spans="1:12" s="458" customFormat="1" ht="11.25">
      <c r="A216" s="568"/>
      <c r="B216" s="568"/>
      <c r="C216" s="568"/>
      <c r="D216" s="568"/>
      <c r="E216" s="568"/>
      <c r="I216" s="569"/>
      <c r="J216" s="569"/>
      <c r="K216" s="570"/>
      <c r="L216" s="571"/>
    </row>
    <row r="224" spans="1:12" s="458" customFormat="1">
      <c r="A224" s="573"/>
      <c r="B224" s="573"/>
      <c r="C224" s="573"/>
      <c r="D224" s="573"/>
      <c r="E224" s="573"/>
      <c r="F224" s="420"/>
      <c r="I224" s="569"/>
      <c r="J224" s="569"/>
      <c r="K224" s="570"/>
      <c r="L224" s="571"/>
    </row>
    <row r="225" spans="1:12" s="458" customFormat="1">
      <c r="A225" s="573"/>
      <c r="B225" s="573"/>
      <c r="C225" s="573"/>
      <c r="D225" s="573"/>
      <c r="E225" s="573"/>
      <c r="F225" s="420"/>
      <c r="I225" s="569"/>
      <c r="J225" s="569"/>
      <c r="K225" s="570"/>
      <c r="L225" s="571"/>
    </row>
    <row r="226" spans="1:12" s="458" customFormat="1">
      <c r="A226" s="573"/>
      <c r="B226" s="573"/>
      <c r="C226" s="573"/>
      <c r="D226" s="573"/>
      <c r="E226" s="573"/>
      <c r="F226" s="420"/>
      <c r="I226" s="569"/>
      <c r="J226" s="569"/>
      <c r="K226" s="570"/>
      <c r="L226" s="571"/>
    </row>
    <row r="227" spans="1:12" s="458" customFormat="1">
      <c r="A227" s="573"/>
      <c r="B227" s="573"/>
      <c r="C227" s="573"/>
      <c r="D227" s="573"/>
      <c r="E227" s="573"/>
      <c r="F227" s="420"/>
      <c r="I227" s="569"/>
      <c r="J227" s="569"/>
      <c r="K227" s="570"/>
      <c r="L227" s="571"/>
    </row>
    <row r="228" spans="1:12" s="458" customFormat="1">
      <c r="A228" s="573"/>
      <c r="B228" s="573"/>
      <c r="C228" s="573"/>
      <c r="D228" s="573"/>
      <c r="E228" s="573"/>
      <c r="F228" s="420"/>
      <c r="I228" s="569"/>
      <c r="J228" s="569"/>
      <c r="K228" s="570"/>
      <c r="L228" s="571"/>
    </row>
    <row r="229" spans="1:12" s="458" customFormat="1">
      <c r="A229" s="573"/>
      <c r="B229" s="573"/>
      <c r="C229" s="573"/>
      <c r="D229" s="573"/>
      <c r="E229" s="573"/>
      <c r="F229" s="420"/>
      <c r="I229" s="569"/>
      <c r="J229" s="569"/>
      <c r="K229" s="570"/>
      <c r="L229" s="571"/>
    </row>
    <row r="230" spans="1:12" s="458" customFormat="1">
      <c r="A230" s="573"/>
      <c r="B230" s="573"/>
      <c r="C230" s="573"/>
      <c r="D230" s="573"/>
      <c r="E230" s="573"/>
      <c r="F230" s="420"/>
      <c r="I230" s="569"/>
      <c r="J230" s="569"/>
      <c r="K230" s="570"/>
      <c r="L230" s="571"/>
    </row>
    <row r="231" spans="1:12" s="458" customFormat="1">
      <c r="A231" s="573"/>
      <c r="B231" s="573"/>
      <c r="C231" s="573"/>
      <c r="D231" s="573"/>
      <c r="E231" s="573"/>
      <c r="F231" s="420"/>
      <c r="I231" s="569"/>
      <c r="J231" s="569"/>
      <c r="K231" s="570"/>
      <c r="L231" s="571"/>
    </row>
    <row r="232" spans="1:12" s="458" customFormat="1">
      <c r="A232" s="573"/>
      <c r="B232" s="573"/>
      <c r="C232" s="573"/>
      <c r="D232" s="573"/>
      <c r="E232" s="573"/>
      <c r="F232" s="420"/>
      <c r="I232" s="569"/>
      <c r="J232" s="569"/>
      <c r="K232" s="570"/>
      <c r="L232" s="571"/>
    </row>
    <row r="233" spans="1:12" s="458" customFormat="1">
      <c r="A233" s="573"/>
      <c r="B233" s="573"/>
      <c r="C233" s="573"/>
      <c r="D233" s="573"/>
      <c r="E233" s="573"/>
      <c r="F233" s="420"/>
      <c r="I233" s="569"/>
      <c r="J233" s="569"/>
      <c r="K233" s="570"/>
      <c r="L233" s="571"/>
    </row>
    <row r="234" spans="1:12" s="458" customFormat="1">
      <c r="A234" s="573"/>
      <c r="B234" s="573"/>
      <c r="C234" s="573"/>
      <c r="D234" s="573"/>
      <c r="E234" s="573"/>
      <c r="F234" s="420"/>
      <c r="I234" s="569"/>
      <c r="J234" s="569"/>
      <c r="K234" s="570"/>
      <c r="L234" s="571"/>
    </row>
    <row r="235" spans="1:12" s="458" customFormat="1">
      <c r="A235" s="573"/>
      <c r="B235" s="573"/>
      <c r="C235" s="573"/>
      <c r="D235" s="573"/>
      <c r="E235" s="573"/>
      <c r="F235" s="420"/>
      <c r="I235" s="569"/>
      <c r="J235" s="569"/>
      <c r="K235" s="570"/>
      <c r="L235" s="571"/>
    </row>
    <row r="236" spans="1:12" s="458" customFormat="1">
      <c r="A236" s="573"/>
      <c r="B236" s="573"/>
      <c r="C236" s="573"/>
      <c r="D236" s="573"/>
      <c r="E236" s="573"/>
      <c r="F236" s="420"/>
      <c r="I236" s="569"/>
      <c r="J236" s="569"/>
      <c r="K236" s="570"/>
      <c r="L236" s="571"/>
    </row>
    <row r="237" spans="1:12" s="458" customFormat="1">
      <c r="A237" s="573"/>
      <c r="B237" s="573"/>
      <c r="C237" s="573"/>
      <c r="D237" s="573"/>
      <c r="E237" s="573"/>
      <c r="F237" s="420"/>
      <c r="I237" s="569"/>
      <c r="J237" s="569"/>
      <c r="K237" s="570"/>
      <c r="L237" s="571"/>
    </row>
    <row r="238" spans="1:12" s="458" customFormat="1">
      <c r="A238" s="573"/>
      <c r="B238" s="573"/>
      <c r="C238" s="573"/>
      <c r="D238" s="573"/>
      <c r="E238" s="573"/>
      <c r="F238" s="420"/>
      <c r="I238" s="569"/>
      <c r="J238" s="569"/>
      <c r="K238" s="570"/>
      <c r="L238" s="571"/>
    </row>
    <row r="239" spans="1:12" s="458" customFormat="1">
      <c r="A239" s="573"/>
      <c r="B239" s="573"/>
      <c r="C239" s="573"/>
      <c r="D239" s="573"/>
      <c r="E239" s="573"/>
      <c r="F239" s="420"/>
      <c r="I239" s="569"/>
      <c r="J239" s="569"/>
      <c r="K239" s="570"/>
      <c r="L239" s="571"/>
    </row>
    <row r="240" spans="1:12" s="458" customFormat="1">
      <c r="A240" s="573"/>
      <c r="B240" s="573"/>
      <c r="C240" s="573"/>
      <c r="D240" s="573"/>
      <c r="E240" s="573"/>
      <c r="F240" s="420"/>
      <c r="I240" s="569"/>
      <c r="J240" s="569"/>
      <c r="K240" s="570"/>
      <c r="L240" s="571"/>
    </row>
    <row r="241" spans="1:12" s="458" customFormat="1">
      <c r="A241" s="573"/>
      <c r="B241" s="573"/>
      <c r="C241" s="573"/>
      <c r="D241" s="573"/>
      <c r="E241" s="573"/>
      <c r="F241" s="420"/>
      <c r="I241" s="569"/>
      <c r="J241" s="569"/>
      <c r="K241" s="570"/>
      <c r="L241" s="571"/>
    </row>
    <row r="242" spans="1:12" s="458" customFormat="1">
      <c r="A242" s="573"/>
      <c r="B242" s="573"/>
      <c r="C242" s="573"/>
      <c r="D242" s="573"/>
      <c r="E242" s="573"/>
      <c r="F242" s="420"/>
      <c r="I242" s="569"/>
      <c r="J242" s="569"/>
      <c r="K242" s="570"/>
      <c r="L242" s="571"/>
    </row>
    <row r="243" spans="1:12" s="458" customFormat="1">
      <c r="A243" s="573"/>
      <c r="B243" s="573"/>
      <c r="C243" s="573"/>
      <c r="D243" s="573"/>
      <c r="E243" s="573"/>
      <c r="F243" s="420"/>
      <c r="I243" s="569"/>
      <c r="J243" s="569"/>
      <c r="K243" s="570"/>
      <c r="L243" s="571"/>
    </row>
    <row r="244" spans="1:12" s="458" customFormat="1">
      <c r="A244" s="573"/>
      <c r="B244" s="573"/>
      <c r="C244" s="573"/>
      <c r="D244" s="573"/>
      <c r="E244" s="573"/>
      <c r="F244" s="420"/>
      <c r="I244" s="569"/>
      <c r="J244" s="569"/>
      <c r="K244" s="570"/>
      <c r="L244" s="571"/>
    </row>
    <row r="245" spans="1:12" s="458" customFormat="1">
      <c r="A245" s="573"/>
      <c r="B245" s="573"/>
      <c r="C245" s="573"/>
      <c r="D245" s="573"/>
      <c r="E245" s="573"/>
      <c r="F245" s="420"/>
      <c r="I245" s="569"/>
      <c r="J245" s="569"/>
      <c r="K245" s="570"/>
      <c r="L245" s="571"/>
    </row>
    <row r="246" spans="1:12" s="458" customFormat="1">
      <c r="A246" s="573"/>
      <c r="B246" s="573"/>
      <c r="C246" s="573"/>
      <c r="D246" s="573"/>
      <c r="E246" s="573"/>
      <c r="F246" s="420"/>
      <c r="I246" s="569"/>
      <c r="J246" s="569"/>
      <c r="K246" s="570"/>
      <c r="L246" s="571"/>
    </row>
    <row r="247" spans="1:12" s="458" customFormat="1">
      <c r="A247" s="573"/>
      <c r="B247" s="573"/>
      <c r="C247" s="573"/>
      <c r="D247" s="573"/>
      <c r="E247" s="573"/>
      <c r="F247" s="420"/>
      <c r="I247" s="569"/>
      <c r="J247" s="569"/>
      <c r="K247" s="570"/>
      <c r="L247" s="571"/>
    </row>
    <row r="248" spans="1:12" s="458" customFormat="1">
      <c r="A248" s="573"/>
      <c r="B248" s="573"/>
      <c r="C248" s="573"/>
      <c r="D248" s="573"/>
      <c r="E248" s="573"/>
      <c r="F248" s="420"/>
      <c r="I248" s="569"/>
      <c r="J248" s="569"/>
      <c r="K248" s="570"/>
      <c r="L248" s="571"/>
    </row>
    <row r="249" spans="1:12" s="458" customFormat="1">
      <c r="A249" s="573"/>
      <c r="B249" s="573"/>
      <c r="C249" s="573"/>
      <c r="D249" s="573"/>
      <c r="E249" s="573"/>
      <c r="F249" s="420"/>
      <c r="I249" s="569"/>
      <c r="J249" s="569"/>
      <c r="K249" s="570"/>
      <c r="L249" s="571"/>
    </row>
    <row r="250" spans="1:12" s="458" customFormat="1">
      <c r="A250" s="573"/>
      <c r="B250" s="573"/>
      <c r="C250" s="573"/>
      <c r="D250" s="573"/>
      <c r="E250" s="573"/>
      <c r="F250" s="420"/>
      <c r="I250" s="569"/>
      <c r="J250" s="569"/>
      <c r="K250" s="570"/>
      <c r="L250" s="571"/>
    </row>
    <row r="251" spans="1:12" s="458" customFormat="1">
      <c r="A251" s="573"/>
      <c r="B251" s="573"/>
      <c r="C251" s="573"/>
      <c r="D251" s="573"/>
      <c r="E251" s="573"/>
      <c r="F251" s="420"/>
      <c r="I251" s="569"/>
      <c r="J251" s="569"/>
      <c r="K251" s="570"/>
      <c r="L251" s="571"/>
    </row>
    <row r="252" spans="1:12" s="458" customFormat="1">
      <c r="A252" s="573"/>
      <c r="B252" s="573"/>
      <c r="C252" s="573"/>
      <c r="D252" s="573"/>
      <c r="E252" s="573"/>
      <c r="F252" s="420"/>
      <c r="I252" s="569"/>
      <c r="J252" s="569"/>
      <c r="K252" s="570"/>
      <c r="L252" s="571"/>
    </row>
    <row r="253" spans="1:12" s="458" customFormat="1">
      <c r="A253" s="573"/>
      <c r="B253" s="573"/>
      <c r="C253" s="573"/>
      <c r="D253" s="573"/>
      <c r="E253" s="573"/>
      <c r="F253" s="420"/>
      <c r="I253" s="569"/>
      <c r="J253" s="569"/>
      <c r="K253" s="570"/>
      <c r="L253" s="571"/>
    </row>
    <row r="254" spans="1:12" s="458" customFormat="1">
      <c r="A254" s="573"/>
      <c r="B254" s="573"/>
      <c r="C254" s="573"/>
      <c r="D254" s="573"/>
      <c r="E254" s="573"/>
      <c r="F254" s="420"/>
      <c r="I254" s="569"/>
      <c r="J254" s="569"/>
      <c r="K254" s="570"/>
      <c r="L254" s="571"/>
    </row>
    <row r="255" spans="1:12" s="458" customFormat="1">
      <c r="A255" s="573"/>
      <c r="B255" s="573"/>
      <c r="C255" s="573"/>
      <c r="D255" s="573"/>
      <c r="E255" s="573"/>
      <c r="F255" s="420"/>
      <c r="I255" s="569"/>
      <c r="J255" s="569"/>
      <c r="K255" s="570"/>
      <c r="L255" s="571"/>
    </row>
    <row r="256" spans="1:12" s="458" customFormat="1">
      <c r="A256" s="573"/>
      <c r="B256" s="573"/>
      <c r="C256" s="573"/>
      <c r="D256" s="573"/>
      <c r="E256" s="573"/>
      <c r="F256" s="420"/>
      <c r="I256" s="569"/>
      <c r="J256" s="569"/>
      <c r="K256" s="570"/>
      <c r="L256" s="571"/>
    </row>
    <row r="257" spans="1:12" s="458" customFormat="1">
      <c r="A257" s="573"/>
      <c r="B257" s="573"/>
      <c r="C257" s="573"/>
      <c r="D257" s="573"/>
      <c r="E257" s="573"/>
      <c r="F257" s="420"/>
      <c r="I257" s="569"/>
      <c r="J257" s="569"/>
      <c r="K257" s="570"/>
      <c r="L257" s="571"/>
    </row>
    <row r="258" spans="1:12" s="458" customFormat="1">
      <c r="A258" s="573"/>
      <c r="B258" s="573"/>
      <c r="C258" s="573"/>
      <c r="D258" s="573"/>
      <c r="E258" s="573"/>
      <c r="F258" s="420"/>
      <c r="I258" s="569"/>
      <c r="J258" s="569"/>
      <c r="K258" s="570"/>
      <c r="L258" s="571"/>
    </row>
    <row r="259" spans="1:12" s="458" customFormat="1">
      <c r="A259" s="573"/>
      <c r="B259" s="573"/>
      <c r="C259" s="573"/>
      <c r="D259" s="573"/>
      <c r="E259" s="573"/>
      <c r="F259" s="420"/>
      <c r="I259" s="569"/>
      <c r="J259" s="569"/>
      <c r="K259" s="570"/>
      <c r="L259" s="571"/>
    </row>
    <row r="260" spans="1:12" s="458" customFormat="1">
      <c r="A260" s="573"/>
      <c r="B260" s="573"/>
      <c r="C260" s="573"/>
      <c r="D260" s="573"/>
      <c r="E260" s="573"/>
      <c r="F260" s="420"/>
      <c r="I260" s="569"/>
      <c r="J260" s="569"/>
      <c r="K260" s="570"/>
      <c r="L260" s="571"/>
    </row>
    <row r="261" spans="1:12" s="458" customFormat="1">
      <c r="A261" s="573"/>
      <c r="B261" s="573"/>
      <c r="C261" s="573"/>
      <c r="D261" s="573"/>
      <c r="E261" s="573"/>
      <c r="F261" s="420"/>
      <c r="I261" s="569"/>
      <c r="J261" s="569"/>
      <c r="K261" s="570"/>
      <c r="L261" s="571"/>
    </row>
    <row r="262" spans="1:12" s="458" customFormat="1">
      <c r="A262" s="573"/>
      <c r="B262" s="573"/>
      <c r="C262" s="573"/>
      <c r="D262" s="573"/>
      <c r="E262" s="573"/>
      <c r="F262" s="420"/>
      <c r="I262" s="569"/>
      <c r="J262" s="569"/>
      <c r="K262" s="570"/>
      <c r="L262" s="571"/>
    </row>
    <row r="263" spans="1:12" s="458" customFormat="1">
      <c r="A263" s="573"/>
      <c r="B263" s="573"/>
      <c r="C263" s="573"/>
      <c r="D263" s="573"/>
      <c r="E263" s="573"/>
      <c r="F263" s="420"/>
      <c r="I263" s="569"/>
      <c r="J263" s="569"/>
      <c r="K263" s="570"/>
      <c r="L263" s="571"/>
    </row>
    <row r="264" spans="1:12" s="458" customFormat="1">
      <c r="A264" s="573"/>
      <c r="B264" s="573"/>
      <c r="C264" s="573"/>
      <c r="D264" s="573"/>
      <c r="E264" s="573"/>
      <c r="F264" s="420"/>
      <c r="I264" s="569"/>
      <c r="J264" s="569"/>
      <c r="K264" s="570"/>
      <c r="L264" s="571"/>
    </row>
    <row r="265" spans="1:12" s="458" customFormat="1">
      <c r="A265" s="573"/>
      <c r="B265" s="573"/>
      <c r="C265" s="573"/>
      <c r="D265" s="573"/>
      <c r="E265" s="573"/>
      <c r="F265" s="420"/>
      <c r="I265" s="569"/>
      <c r="J265" s="569"/>
      <c r="K265" s="570"/>
      <c r="L265" s="571"/>
    </row>
    <row r="266" spans="1:12" s="458" customFormat="1">
      <c r="A266" s="573"/>
      <c r="B266" s="573"/>
      <c r="C266" s="573"/>
      <c r="D266" s="573"/>
      <c r="E266" s="573"/>
      <c r="F266" s="420"/>
      <c r="I266" s="569"/>
      <c r="J266" s="569"/>
      <c r="K266" s="570"/>
      <c r="L266" s="571"/>
    </row>
    <row r="267" spans="1:12" s="458" customFormat="1">
      <c r="A267" s="573"/>
      <c r="B267" s="573"/>
      <c r="C267" s="573"/>
      <c r="D267" s="573"/>
      <c r="E267" s="573"/>
      <c r="F267" s="420"/>
      <c r="I267" s="569"/>
      <c r="J267" s="569"/>
      <c r="K267" s="570"/>
      <c r="L267" s="571"/>
    </row>
    <row r="268" spans="1:12" s="458" customFormat="1">
      <c r="A268" s="573"/>
      <c r="B268" s="573"/>
      <c r="C268" s="573"/>
      <c r="D268" s="573"/>
      <c r="E268" s="573"/>
      <c r="F268" s="420"/>
      <c r="I268" s="569"/>
      <c r="J268" s="569"/>
      <c r="K268" s="570"/>
      <c r="L268" s="571"/>
    </row>
    <row r="269" spans="1:12" s="458" customFormat="1">
      <c r="A269" s="573"/>
      <c r="B269" s="573"/>
      <c r="C269" s="573"/>
      <c r="D269" s="573"/>
      <c r="E269" s="573"/>
      <c r="F269" s="420"/>
      <c r="I269" s="569"/>
      <c r="J269" s="569"/>
      <c r="K269" s="570"/>
      <c r="L269" s="571"/>
    </row>
    <row r="270" spans="1:12" s="458" customFormat="1">
      <c r="A270" s="573"/>
      <c r="B270" s="573"/>
      <c r="C270" s="573"/>
      <c r="D270" s="573"/>
      <c r="E270" s="573"/>
      <c r="F270" s="420"/>
      <c r="I270" s="569"/>
      <c r="J270" s="569"/>
      <c r="K270" s="570"/>
      <c r="L270" s="571"/>
    </row>
    <row r="271" spans="1:12" s="458" customFormat="1">
      <c r="A271" s="573"/>
      <c r="B271" s="573"/>
      <c r="C271" s="573"/>
      <c r="D271" s="573"/>
      <c r="E271" s="573"/>
      <c r="F271" s="420"/>
      <c r="I271" s="569"/>
      <c r="J271" s="569"/>
      <c r="K271" s="570"/>
      <c r="L271" s="571"/>
    </row>
    <row r="272" spans="1:12" s="458" customFormat="1">
      <c r="A272" s="573"/>
      <c r="B272" s="573"/>
      <c r="C272" s="573"/>
      <c r="D272" s="573"/>
      <c r="E272" s="573"/>
      <c r="F272" s="420"/>
      <c r="I272" s="569"/>
      <c r="J272" s="569"/>
      <c r="K272" s="570"/>
      <c r="L272" s="571"/>
    </row>
    <row r="273" spans="1:12" s="458" customFormat="1">
      <c r="A273" s="573"/>
      <c r="B273" s="573"/>
      <c r="C273" s="573"/>
      <c r="D273" s="573"/>
      <c r="E273" s="573"/>
      <c r="F273" s="420"/>
      <c r="I273" s="569"/>
      <c r="J273" s="569"/>
      <c r="K273" s="570"/>
      <c r="L273" s="571"/>
    </row>
    <row r="274" spans="1:12" s="458" customFormat="1">
      <c r="A274" s="573"/>
      <c r="B274" s="573"/>
      <c r="C274" s="573"/>
      <c r="D274" s="573"/>
      <c r="E274" s="573"/>
      <c r="F274" s="420"/>
      <c r="I274" s="569"/>
      <c r="J274" s="569"/>
      <c r="K274" s="570"/>
      <c r="L274" s="571"/>
    </row>
    <row r="275" spans="1:12" s="458" customFormat="1">
      <c r="A275" s="573"/>
      <c r="B275" s="573"/>
      <c r="C275" s="573"/>
      <c r="D275" s="573"/>
      <c r="E275" s="573"/>
      <c r="F275" s="420"/>
      <c r="I275" s="569"/>
      <c r="J275" s="569"/>
      <c r="K275" s="570"/>
      <c r="L275" s="571"/>
    </row>
    <row r="276" spans="1:12" s="458" customFormat="1">
      <c r="A276" s="573"/>
      <c r="B276" s="573"/>
      <c r="C276" s="573"/>
      <c r="D276" s="573"/>
      <c r="E276" s="573"/>
      <c r="F276" s="420"/>
      <c r="I276" s="569"/>
      <c r="J276" s="569"/>
      <c r="K276" s="570"/>
      <c r="L276" s="571"/>
    </row>
    <row r="277" spans="1:12" s="458" customFormat="1">
      <c r="A277" s="573"/>
      <c r="B277" s="573"/>
      <c r="C277" s="573"/>
      <c r="D277" s="573"/>
      <c r="E277" s="573"/>
      <c r="F277" s="420"/>
      <c r="I277" s="569"/>
      <c r="J277" s="569"/>
      <c r="K277" s="570"/>
      <c r="L277" s="571"/>
    </row>
    <row r="278" spans="1:12" s="458" customFormat="1">
      <c r="A278" s="573"/>
      <c r="B278" s="573"/>
      <c r="C278" s="573"/>
      <c r="D278" s="573"/>
      <c r="E278" s="573"/>
      <c r="F278" s="420"/>
      <c r="I278" s="569"/>
      <c r="J278" s="569"/>
      <c r="K278" s="570"/>
      <c r="L278" s="571"/>
    </row>
    <row r="279" spans="1:12" s="458" customFormat="1">
      <c r="A279" s="573"/>
      <c r="B279" s="573"/>
      <c r="C279" s="573"/>
      <c r="D279" s="573"/>
      <c r="E279" s="573"/>
      <c r="F279" s="420"/>
      <c r="I279" s="569"/>
      <c r="J279" s="569"/>
      <c r="K279" s="570"/>
      <c r="L279" s="571"/>
    </row>
    <row r="280" spans="1:12" s="458" customFormat="1">
      <c r="A280" s="573"/>
      <c r="B280" s="573"/>
      <c r="C280" s="573"/>
      <c r="D280" s="573"/>
      <c r="E280" s="573"/>
      <c r="F280" s="420"/>
      <c r="I280" s="569"/>
      <c r="J280" s="569"/>
      <c r="K280" s="570"/>
      <c r="L280" s="571"/>
    </row>
  </sheetData>
  <mergeCells count="32">
    <mergeCell ref="A92:H92"/>
    <mergeCell ref="A1:J1"/>
    <mergeCell ref="K1:L1"/>
    <mergeCell ref="A3:H4"/>
    <mergeCell ref="I3:I4"/>
    <mergeCell ref="J3:J4"/>
    <mergeCell ref="K3:L3"/>
    <mergeCell ref="C28:F28"/>
    <mergeCell ref="A37:H37"/>
    <mergeCell ref="C46:F46"/>
    <mergeCell ref="A86:H86"/>
    <mergeCell ref="A90:H90"/>
    <mergeCell ref="D144:F144"/>
    <mergeCell ref="A98:H98"/>
    <mergeCell ref="A101:J101"/>
    <mergeCell ref="K101:L101"/>
    <mergeCell ref="A103:H104"/>
    <mergeCell ref="I103:I104"/>
    <mergeCell ref="J103:J104"/>
    <mergeCell ref="K103:L103"/>
    <mergeCell ref="A123:H123"/>
    <mergeCell ref="A130:H130"/>
    <mergeCell ref="A134:H134"/>
    <mergeCell ref="D142:F142"/>
    <mergeCell ref="D143:F143"/>
    <mergeCell ref="A167:H167"/>
    <mergeCell ref="D145:F145"/>
    <mergeCell ref="D146:F146"/>
    <mergeCell ref="D147:F147"/>
    <mergeCell ref="A155:H155"/>
    <mergeCell ref="A159:H159"/>
    <mergeCell ref="A161:H16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fitToHeight="2" orientation="portrait" r:id="rId1"/>
  <rowBreaks count="1" manualBreakCount="1">
    <brk id="99" max="11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678"/>
  <sheetViews>
    <sheetView showGridLines="0" topLeftCell="A319" zoomScale="80" zoomScaleNormal="80" workbookViewId="0">
      <selection activeCell="D323" sqref="D323"/>
    </sheetView>
  </sheetViews>
  <sheetFormatPr defaultColWidth="9.140625" defaultRowHeight="19.5"/>
  <cols>
    <col min="1" max="1" width="7.5703125" style="76" customWidth="1"/>
    <col min="2" max="2" width="12" style="76" customWidth="1"/>
    <col min="3" max="3" width="79.5703125" style="75" customWidth="1"/>
    <col min="4" max="4" width="30.85546875" style="575" bestFit="1" customWidth="1"/>
    <col min="5" max="5" width="24.42578125" style="75" bestFit="1" customWidth="1"/>
    <col min="6" max="6" width="3.42578125" style="613" customWidth="1"/>
    <col min="7" max="7" width="3.42578125" style="739" customWidth="1"/>
    <col min="8" max="9" width="3.42578125" style="75" customWidth="1"/>
    <col min="10" max="10" width="3.7109375" style="75" customWidth="1"/>
    <col min="11" max="11" width="38.5703125" style="75" bestFit="1" customWidth="1"/>
    <col min="12" max="13" width="3" style="75" customWidth="1"/>
    <col min="14" max="14" width="3.7109375" style="75" customWidth="1"/>
    <col min="15" max="17" width="3" style="75" customWidth="1"/>
    <col min="18" max="21" width="3.42578125" style="75" customWidth="1"/>
    <col min="22" max="22" width="1.42578125" style="75" customWidth="1"/>
    <col min="23" max="23" width="5.42578125" style="75" customWidth="1"/>
    <col min="24" max="28" width="3.42578125" style="75" customWidth="1"/>
    <col min="29" max="29" width="9.140625" style="75" customWidth="1"/>
    <col min="30" max="198" width="9.140625" style="75"/>
    <col min="199" max="206" width="9.140625" style="75" customWidth="1"/>
    <col min="207" max="207" width="10.140625" style="75" customWidth="1"/>
    <col min="208" max="208" width="1" style="75" customWidth="1"/>
    <col min="209" max="211" width="3.42578125" style="75" customWidth="1"/>
    <col min="212" max="212" width="1.85546875" style="75" customWidth="1"/>
    <col min="213" max="213" width="17.85546875" style="75" customWidth="1"/>
    <col min="214" max="214" width="1.85546875" style="75" customWidth="1"/>
    <col min="215" max="217" width="3.42578125" style="75" customWidth="1"/>
    <col min="218" max="218" width="2.85546875" style="75" customWidth="1"/>
    <col min="219" max="219" width="1.85546875" style="75" customWidth="1"/>
    <col min="220" max="220" width="19.5703125" style="75" customWidth="1"/>
    <col min="221" max="221" width="1.85546875" style="75" customWidth="1"/>
    <col min="222" max="224" width="3" style="75" customWidth="1"/>
    <col min="225" max="225" width="4.42578125" style="75" customWidth="1"/>
    <col min="226" max="227" width="3" style="75" customWidth="1"/>
    <col min="228" max="233" width="3.42578125" style="75" customWidth="1"/>
    <col min="234" max="235" width="9.140625" style="75" customWidth="1"/>
    <col min="236" max="239" width="3.42578125" style="75" customWidth="1"/>
    <col min="240" max="240" width="4.140625" style="75" customWidth="1"/>
    <col min="241" max="241" width="1.5703125" style="75" customWidth="1"/>
    <col min="242" max="246" width="3.42578125" style="75" customWidth="1"/>
    <col min="247" max="247" width="1.5703125" style="75" customWidth="1"/>
    <col min="248" max="252" width="3.42578125" style="75" customWidth="1"/>
    <col min="253" max="258" width="9.140625" style="75" customWidth="1"/>
    <col min="259" max="259" width="1.5703125" style="75" customWidth="1"/>
    <col min="260" max="264" width="3.42578125" style="75" customWidth="1"/>
    <col min="265" max="265" width="1.5703125" style="75" customWidth="1"/>
    <col min="266" max="266" width="16.5703125" style="75" bestFit="1" customWidth="1"/>
    <col min="267" max="268" width="10.42578125" style="75" customWidth="1"/>
    <col min="269" max="269" width="18" style="75" bestFit="1" customWidth="1"/>
    <col min="270" max="454" width="9.140625" style="75"/>
    <col min="455" max="462" width="9.140625" style="75" customWidth="1"/>
    <col min="463" max="463" width="10.140625" style="75" customWidth="1"/>
    <col min="464" max="464" width="1" style="75" customWidth="1"/>
    <col min="465" max="467" width="3.42578125" style="75" customWidth="1"/>
    <col min="468" max="468" width="1.85546875" style="75" customWidth="1"/>
    <col min="469" max="469" width="17.85546875" style="75" customWidth="1"/>
    <col min="470" max="470" width="1.85546875" style="75" customWidth="1"/>
    <col min="471" max="473" width="3.42578125" style="75" customWidth="1"/>
    <col min="474" max="474" width="2.85546875" style="75" customWidth="1"/>
    <col min="475" max="475" width="1.85546875" style="75" customWidth="1"/>
    <col min="476" max="476" width="19.5703125" style="75" customWidth="1"/>
    <col min="477" max="477" width="1.85546875" style="75" customWidth="1"/>
    <col min="478" max="480" width="3" style="75" customWidth="1"/>
    <col min="481" max="481" width="4.42578125" style="75" customWidth="1"/>
    <col min="482" max="483" width="3" style="75" customWidth="1"/>
    <col min="484" max="489" width="3.42578125" style="75" customWidth="1"/>
    <col min="490" max="491" width="9.140625" style="75" customWidth="1"/>
    <col min="492" max="495" width="3.42578125" style="75" customWidth="1"/>
    <col min="496" max="496" width="4.140625" style="75" customWidth="1"/>
    <col min="497" max="497" width="1.5703125" style="75" customWidth="1"/>
    <col min="498" max="502" width="3.42578125" style="75" customWidth="1"/>
    <col min="503" max="503" width="1.5703125" style="75" customWidth="1"/>
    <col min="504" max="508" width="3.42578125" style="75" customWidth="1"/>
    <col min="509" max="514" width="9.140625" style="75" customWidth="1"/>
    <col min="515" max="515" width="1.5703125" style="75" customWidth="1"/>
    <col min="516" max="520" width="3.42578125" style="75" customWidth="1"/>
    <col min="521" max="521" width="1.5703125" style="75" customWidth="1"/>
    <col min="522" max="522" width="16.5703125" style="75" bestFit="1" customWidth="1"/>
    <col min="523" max="524" width="10.42578125" style="75" customWidth="1"/>
    <col min="525" max="525" width="18" style="75" bestFit="1" customWidth="1"/>
    <col min="526" max="710" width="9.140625" style="75"/>
    <col min="711" max="718" width="9.140625" style="75" customWidth="1"/>
    <col min="719" max="719" width="10.140625" style="75" customWidth="1"/>
    <col min="720" max="720" width="1" style="75" customWidth="1"/>
    <col min="721" max="723" width="3.42578125" style="75" customWidth="1"/>
    <col min="724" max="724" width="1.85546875" style="75" customWidth="1"/>
    <col min="725" max="725" width="17.85546875" style="75" customWidth="1"/>
    <col min="726" max="726" width="1.85546875" style="75" customWidth="1"/>
    <col min="727" max="729" width="3.42578125" style="75" customWidth="1"/>
    <col min="730" max="730" width="2.85546875" style="75" customWidth="1"/>
    <col min="731" max="731" width="1.85546875" style="75" customWidth="1"/>
    <col min="732" max="732" width="19.5703125" style="75" customWidth="1"/>
    <col min="733" max="733" width="1.85546875" style="75" customWidth="1"/>
    <col min="734" max="736" width="3" style="75" customWidth="1"/>
    <col min="737" max="737" width="4.42578125" style="75" customWidth="1"/>
    <col min="738" max="739" width="3" style="75" customWidth="1"/>
    <col min="740" max="745" width="3.42578125" style="75" customWidth="1"/>
    <col min="746" max="747" width="9.140625" style="75" customWidth="1"/>
    <col min="748" max="751" width="3.42578125" style="75" customWidth="1"/>
    <col min="752" max="752" width="4.140625" style="75" customWidth="1"/>
    <col min="753" max="753" width="1.5703125" style="75" customWidth="1"/>
    <col min="754" max="758" width="3.42578125" style="75" customWidth="1"/>
    <col min="759" max="759" width="1.5703125" style="75" customWidth="1"/>
    <col min="760" max="764" width="3.42578125" style="75" customWidth="1"/>
    <col min="765" max="770" width="9.140625" style="75" customWidth="1"/>
    <col min="771" max="771" width="1.5703125" style="75" customWidth="1"/>
    <col min="772" max="776" width="3.42578125" style="75" customWidth="1"/>
    <col min="777" max="777" width="1.5703125" style="75" customWidth="1"/>
    <col min="778" max="778" width="16.5703125" style="75" bestFit="1" customWidth="1"/>
    <col min="779" max="780" width="10.42578125" style="75" customWidth="1"/>
    <col min="781" max="781" width="18" style="75" bestFit="1" customWidth="1"/>
    <col min="782" max="966" width="9.140625" style="75"/>
    <col min="967" max="974" width="9.140625" style="75" customWidth="1"/>
    <col min="975" max="975" width="10.140625" style="75" customWidth="1"/>
    <col min="976" max="976" width="1" style="75" customWidth="1"/>
    <col min="977" max="979" width="3.42578125" style="75" customWidth="1"/>
    <col min="980" max="980" width="1.85546875" style="75" customWidth="1"/>
    <col min="981" max="981" width="17.85546875" style="75" customWidth="1"/>
    <col min="982" max="982" width="1.85546875" style="75" customWidth="1"/>
    <col min="983" max="985" width="3.42578125" style="75" customWidth="1"/>
    <col min="986" max="986" width="2.85546875" style="75" customWidth="1"/>
    <col min="987" max="987" width="1.85546875" style="75" customWidth="1"/>
    <col min="988" max="988" width="19.5703125" style="75" customWidth="1"/>
    <col min="989" max="989" width="1.85546875" style="75" customWidth="1"/>
    <col min="990" max="992" width="3" style="75" customWidth="1"/>
    <col min="993" max="993" width="4.42578125" style="75" customWidth="1"/>
    <col min="994" max="995" width="3" style="75" customWidth="1"/>
    <col min="996" max="1001" width="3.42578125" style="75" customWidth="1"/>
    <col min="1002" max="1003" width="9.140625" style="75" customWidth="1"/>
    <col min="1004" max="1007" width="3.42578125" style="75" customWidth="1"/>
    <col min="1008" max="1008" width="4.140625" style="75" customWidth="1"/>
    <col min="1009" max="1009" width="1.5703125" style="75" customWidth="1"/>
    <col min="1010" max="1014" width="3.42578125" style="75" customWidth="1"/>
    <col min="1015" max="1015" width="1.5703125" style="75" customWidth="1"/>
    <col min="1016" max="1020" width="3.42578125" style="75" customWidth="1"/>
    <col min="1021" max="1026" width="9.140625" style="75" customWidth="1"/>
    <col min="1027" max="1027" width="1.5703125" style="75" customWidth="1"/>
    <col min="1028" max="1032" width="3.42578125" style="75" customWidth="1"/>
    <col min="1033" max="1033" width="1.5703125" style="75" customWidth="1"/>
    <col min="1034" max="1034" width="16.5703125" style="75" bestFit="1" customWidth="1"/>
    <col min="1035" max="1036" width="10.42578125" style="75" customWidth="1"/>
    <col min="1037" max="1037" width="18" style="75" bestFit="1" customWidth="1"/>
    <col min="1038" max="1222" width="9.140625" style="75"/>
    <col min="1223" max="1230" width="9.140625" style="75" customWidth="1"/>
    <col min="1231" max="1231" width="10.140625" style="75" customWidth="1"/>
    <col min="1232" max="1232" width="1" style="75" customWidth="1"/>
    <col min="1233" max="1235" width="3.42578125" style="75" customWidth="1"/>
    <col min="1236" max="1236" width="1.85546875" style="75" customWidth="1"/>
    <col min="1237" max="1237" width="17.85546875" style="75" customWidth="1"/>
    <col min="1238" max="1238" width="1.85546875" style="75" customWidth="1"/>
    <col min="1239" max="1241" width="3.42578125" style="75" customWidth="1"/>
    <col min="1242" max="1242" width="2.85546875" style="75" customWidth="1"/>
    <col min="1243" max="1243" width="1.85546875" style="75" customWidth="1"/>
    <col min="1244" max="1244" width="19.5703125" style="75" customWidth="1"/>
    <col min="1245" max="1245" width="1.85546875" style="75" customWidth="1"/>
    <col min="1246" max="1248" width="3" style="75" customWidth="1"/>
    <col min="1249" max="1249" width="4.42578125" style="75" customWidth="1"/>
    <col min="1250" max="1251" width="3" style="75" customWidth="1"/>
    <col min="1252" max="1257" width="3.42578125" style="75" customWidth="1"/>
    <col min="1258" max="1259" width="9.140625" style="75" customWidth="1"/>
    <col min="1260" max="1263" width="3.42578125" style="75" customWidth="1"/>
    <col min="1264" max="1264" width="4.140625" style="75" customWidth="1"/>
    <col min="1265" max="1265" width="1.5703125" style="75" customWidth="1"/>
    <col min="1266" max="1270" width="3.42578125" style="75" customWidth="1"/>
    <col min="1271" max="1271" width="1.5703125" style="75" customWidth="1"/>
    <col min="1272" max="1276" width="3.42578125" style="75" customWidth="1"/>
    <col min="1277" max="1282" width="9.140625" style="75" customWidth="1"/>
    <col min="1283" max="1283" width="1.5703125" style="75" customWidth="1"/>
    <col min="1284" max="1288" width="3.42578125" style="75" customWidth="1"/>
    <col min="1289" max="1289" width="1.5703125" style="75" customWidth="1"/>
    <col min="1290" max="1290" width="16.5703125" style="75" bestFit="1" customWidth="1"/>
    <col min="1291" max="1292" width="10.42578125" style="75" customWidth="1"/>
    <col min="1293" max="1293" width="18" style="75" bestFit="1" customWidth="1"/>
    <col min="1294" max="1478" width="9.140625" style="75"/>
    <col min="1479" max="1486" width="9.140625" style="75" customWidth="1"/>
    <col min="1487" max="1487" width="10.140625" style="75" customWidth="1"/>
    <col min="1488" max="1488" width="1" style="75" customWidth="1"/>
    <col min="1489" max="1491" width="3.42578125" style="75" customWidth="1"/>
    <col min="1492" max="1492" width="1.85546875" style="75" customWidth="1"/>
    <col min="1493" max="1493" width="17.85546875" style="75" customWidth="1"/>
    <col min="1494" max="1494" width="1.85546875" style="75" customWidth="1"/>
    <col min="1495" max="1497" width="3.42578125" style="75" customWidth="1"/>
    <col min="1498" max="1498" width="2.85546875" style="75" customWidth="1"/>
    <col min="1499" max="1499" width="1.85546875" style="75" customWidth="1"/>
    <col min="1500" max="1500" width="19.5703125" style="75" customWidth="1"/>
    <col min="1501" max="1501" width="1.85546875" style="75" customWidth="1"/>
    <col min="1502" max="1504" width="3" style="75" customWidth="1"/>
    <col min="1505" max="1505" width="4.42578125" style="75" customWidth="1"/>
    <col min="1506" max="1507" width="3" style="75" customWidth="1"/>
    <col min="1508" max="1513" width="3.42578125" style="75" customWidth="1"/>
    <col min="1514" max="1515" width="9.140625" style="75" customWidth="1"/>
    <col min="1516" max="1519" width="3.42578125" style="75" customWidth="1"/>
    <col min="1520" max="1520" width="4.140625" style="75" customWidth="1"/>
    <col min="1521" max="1521" width="1.5703125" style="75" customWidth="1"/>
    <col min="1522" max="1526" width="3.42578125" style="75" customWidth="1"/>
    <col min="1527" max="1527" width="1.5703125" style="75" customWidth="1"/>
    <col min="1528" max="1532" width="3.42578125" style="75" customWidth="1"/>
    <col min="1533" max="1538" width="9.140625" style="75" customWidth="1"/>
    <col min="1539" max="1539" width="1.5703125" style="75" customWidth="1"/>
    <col min="1540" max="1544" width="3.42578125" style="75" customWidth="1"/>
    <col min="1545" max="1545" width="1.5703125" style="75" customWidth="1"/>
    <col min="1546" max="1546" width="16.5703125" style="75" bestFit="1" customWidth="1"/>
    <col min="1547" max="1548" width="10.42578125" style="75" customWidth="1"/>
    <col min="1549" max="1549" width="18" style="75" bestFit="1" customWidth="1"/>
    <col min="1550" max="1734" width="9.140625" style="75"/>
    <col min="1735" max="1742" width="9.140625" style="75" customWidth="1"/>
    <col min="1743" max="1743" width="10.140625" style="75" customWidth="1"/>
    <col min="1744" max="1744" width="1" style="75" customWidth="1"/>
    <col min="1745" max="1747" width="3.42578125" style="75" customWidth="1"/>
    <col min="1748" max="1748" width="1.85546875" style="75" customWidth="1"/>
    <col min="1749" max="1749" width="17.85546875" style="75" customWidth="1"/>
    <col min="1750" max="1750" width="1.85546875" style="75" customWidth="1"/>
    <col min="1751" max="1753" width="3.42578125" style="75" customWidth="1"/>
    <col min="1754" max="1754" width="2.85546875" style="75" customWidth="1"/>
    <col min="1755" max="1755" width="1.85546875" style="75" customWidth="1"/>
    <col min="1756" max="1756" width="19.5703125" style="75" customWidth="1"/>
    <col min="1757" max="1757" width="1.85546875" style="75" customWidth="1"/>
    <col min="1758" max="1760" width="3" style="75" customWidth="1"/>
    <col min="1761" max="1761" width="4.42578125" style="75" customWidth="1"/>
    <col min="1762" max="1763" width="3" style="75" customWidth="1"/>
    <col min="1764" max="1769" width="3.42578125" style="75" customWidth="1"/>
    <col min="1770" max="1771" width="9.140625" style="75" customWidth="1"/>
    <col min="1772" max="1775" width="3.42578125" style="75" customWidth="1"/>
    <col min="1776" max="1776" width="4.140625" style="75" customWidth="1"/>
    <col min="1777" max="1777" width="1.5703125" style="75" customWidth="1"/>
    <col min="1778" max="1782" width="3.42578125" style="75" customWidth="1"/>
    <col min="1783" max="1783" width="1.5703125" style="75" customWidth="1"/>
    <col min="1784" max="1788" width="3.42578125" style="75" customWidth="1"/>
    <col min="1789" max="1794" width="9.140625" style="75" customWidth="1"/>
    <col min="1795" max="1795" width="1.5703125" style="75" customWidth="1"/>
    <col min="1796" max="1800" width="3.42578125" style="75" customWidth="1"/>
    <col min="1801" max="1801" width="1.5703125" style="75" customWidth="1"/>
    <col min="1802" max="1802" width="16.5703125" style="75" bestFit="1" customWidth="1"/>
    <col min="1803" max="1804" width="10.42578125" style="75" customWidth="1"/>
    <col min="1805" max="1805" width="18" style="75" bestFit="1" customWidth="1"/>
    <col min="1806" max="1990" width="9.140625" style="75"/>
    <col min="1991" max="1998" width="9.140625" style="75" customWidth="1"/>
    <col min="1999" max="1999" width="10.140625" style="75" customWidth="1"/>
    <col min="2000" max="2000" width="1" style="75" customWidth="1"/>
    <col min="2001" max="2003" width="3.42578125" style="75" customWidth="1"/>
    <col min="2004" max="2004" width="1.85546875" style="75" customWidth="1"/>
    <col min="2005" max="2005" width="17.85546875" style="75" customWidth="1"/>
    <col min="2006" max="2006" width="1.85546875" style="75" customWidth="1"/>
    <col min="2007" max="2009" width="3.42578125" style="75" customWidth="1"/>
    <col min="2010" max="2010" width="2.85546875" style="75" customWidth="1"/>
    <col min="2011" max="2011" width="1.85546875" style="75" customWidth="1"/>
    <col min="2012" max="2012" width="19.5703125" style="75" customWidth="1"/>
    <col min="2013" max="2013" width="1.85546875" style="75" customWidth="1"/>
    <col min="2014" max="2016" width="3" style="75" customWidth="1"/>
    <col min="2017" max="2017" width="4.42578125" style="75" customWidth="1"/>
    <col min="2018" max="2019" width="3" style="75" customWidth="1"/>
    <col min="2020" max="2025" width="3.42578125" style="75" customWidth="1"/>
    <col min="2026" max="2027" width="9.140625" style="75" customWidth="1"/>
    <col min="2028" max="2031" width="3.42578125" style="75" customWidth="1"/>
    <col min="2032" max="2032" width="4.140625" style="75" customWidth="1"/>
    <col min="2033" max="2033" width="1.5703125" style="75" customWidth="1"/>
    <col min="2034" max="2038" width="3.42578125" style="75" customWidth="1"/>
    <col min="2039" max="2039" width="1.5703125" style="75" customWidth="1"/>
    <col min="2040" max="2044" width="3.42578125" style="75" customWidth="1"/>
    <col min="2045" max="2050" width="9.140625" style="75" customWidth="1"/>
    <col min="2051" max="2051" width="1.5703125" style="75" customWidth="1"/>
    <col min="2052" max="2056" width="3.42578125" style="75" customWidth="1"/>
    <col min="2057" max="2057" width="1.5703125" style="75" customWidth="1"/>
    <col min="2058" max="2058" width="16.5703125" style="75" bestFit="1" customWidth="1"/>
    <col min="2059" max="2060" width="10.42578125" style="75" customWidth="1"/>
    <col min="2061" max="2061" width="18" style="75" bestFit="1" customWidth="1"/>
    <col min="2062" max="2246" width="9.140625" style="75"/>
    <col min="2247" max="2254" width="9.140625" style="75" customWidth="1"/>
    <col min="2255" max="2255" width="10.140625" style="75" customWidth="1"/>
    <col min="2256" max="2256" width="1" style="75" customWidth="1"/>
    <col min="2257" max="2259" width="3.42578125" style="75" customWidth="1"/>
    <col min="2260" max="2260" width="1.85546875" style="75" customWidth="1"/>
    <col min="2261" max="2261" width="17.85546875" style="75" customWidth="1"/>
    <col min="2262" max="2262" width="1.85546875" style="75" customWidth="1"/>
    <col min="2263" max="2265" width="3.42578125" style="75" customWidth="1"/>
    <col min="2266" max="2266" width="2.85546875" style="75" customWidth="1"/>
    <col min="2267" max="2267" width="1.85546875" style="75" customWidth="1"/>
    <col min="2268" max="2268" width="19.5703125" style="75" customWidth="1"/>
    <col min="2269" max="2269" width="1.85546875" style="75" customWidth="1"/>
    <col min="2270" max="2272" width="3" style="75" customWidth="1"/>
    <col min="2273" max="2273" width="4.42578125" style="75" customWidth="1"/>
    <col min="2274" max="2275" width="3" style="75" customWidth="1"/>
    <col min="2276" max="2281" width="3.42578125" style="75" customWidth="1"/>
    <col min="2282" max="2283" width="9.140625" style="75" customWidth="1"/>
    <col min="2284" max="2287" width="3.42578125" style="75" customWidth="1"/>
    <col min="2288" max="2288" width="4.140625" style="75" customWidth="1"/>
    <col min="2289" max="2289" width="1.5703125" style="75" customWidth="1"/>
    <col min="2290" max="2294" width="3.42578125" style="75" customWidth="1"/>
    <col min="2295" max="2295" width="1.5703125" style="75" customWidth="1"/>
    <col min="2296" max="2300" width="3.42578125" style="75" customWidth="1"/>
    <col min="2301" max="2306" width="9.140625" style="75" customWidth="1"/>
    <col min="2307" max="2307" width="1.5703125" style="75" customWidth="1"/>
    <col min="2308" max="2312" width="3.42578125" style="75" customWidth="1"/>
    <col min="2313" max="2313" width="1.5703125" style="75" customWidth="1"/>
    <col min="2314" max="2314" width="16.5703125" style="75" bestFit="1" customWidth="1"/>
    <col min="2315" max="2316" width="10.42578125" style="75" customWidth="1"/>
    <col min="2317" max="2317" width="18" style="75" bestFit="1" customWidth="1"/>
    <col min="2318" max="2502" width="9.140625" style="75"/>
    <col min="2503" max="2510" width="9.140625" style="75" customWidth="1"/>
    <col min="2511" max="2511" width="10.140625" style="75" customWidth="1"/>
    <col min="2512" max="2512" width="1" style="75" customWidth="1"/>
    <col min="2513" max="2515" width="3.42578125" style="75" customWidth="1"/>
    <col min="2516" max="2516" width="1.85546875" style="75" customWidth="1"/>
    <col min="2517" max="2517" width="17.85546875" style="75" customWidth="1"/>
    <col min="2518" max="2518" width="1.85546875" style="75" customWidth="1"/>
    <col min="2519" max="2521" width="3.42578125" style="75" customWidth="1"/>
    <col min="2522" max="2522" width="2.85546875" style="75" customWidth="1"/>
    <col min="2523" max="2523" width="1.85546875" style="75" customWidth="1"/>
    <col min="2524" max="2524" width="19.5703125" style="75" customWidth="1"/>
    <col min="2525" max="2525" width="1.85546875" style="75" customWidth="1"/>
    <col min="2526" max="2528" width="3" style="75" customWidth="1"/>
    <col min="2529" max="2529" width="4.42578125" style="75" customWidth="1"/>
    <col min="2530" max="2531" width="3" style="75" customWidth="1"/>
    <col min="2532" max="2537" width="3.42578125" style="75" customWidth="1"/>
    <col min="2538" max="2539" width="9.140625" style="75" customWidth="1"/>
    <col min="2540" max="2543" width="3.42578125" style="75" customWidth="1"/>
    <col min="2544" max="2544" width="4.140625" style="75" customWidth="1"/>
    <col min="2545" max="2545" width="1.5703125" style="75" customWidth="1"/>
    <col min="2546" max="2550" width="3.42578125" style="75" customWidth="1"/>
    <col min="2551" max="2551" width="1.5703125" style="75" customWidth="1"/>
    <col min="2552" max="2556" width="3.42578125" style="75" customWidth="1"/>
    <col min="2557" max="2562" width="9.140625" style="75" customWidth="1"/>
    <col min="2563" max="2563" width="1.5703125" style="75" customWidth="1"/>
    <col min="2564" max="2568" width="3.42578125" style="75" customWidth="1"/>
    <col min="2569" max="2569" width="1.5703125" style="75" customWidth="1"/>
    <col min="2570" max="2570" width="16.5703125" style="75" bestFit="1" customWidth="1"/>
    <col min="2571" max="2572" width="10.42578125" style="75" customWidth="1"/>
    <col min="2573" max="2573" width="18" style="75" bestFit="1" customWidth="1"/>
    <col min="2574" max="2758" width="9.140625" style="75"/>
    <col min="2759" max="2766" width="9.140625" style="75" customWidth="1"/>
    <col min="2767" max="2767" width="10.140625" style="75" customWidth="1"/>
    <col min="2768" max="2768" width="1" style="75" customWidth="1"/>
    <col min="2769" max="2771" width="3.42578125" style="75" customWidth="1"/>
    <col min="2772" max="2772" width="1.85546875" style="75" customWidth="1"/>
    <col min="2773" max="2773" width="17.85546875" style="75" customWidth="1"/>
    <col min="2774" max="2774" width="1.85546875" style="75" customWidth="1"/>
    <col min="2775" max="2777" width="3.42578125" style="75" customWidth="1"/>
    <col min="2778" max="2778" width="2.85546875" style="75" customWidth="1"/>
    <col min="2779" max="2779" width="1.85546875" style="75" customWidth="1"/>
    <col min="2780" max="2780" width="19.5703125" style="75" customWidth="1"/>
    <col min="2781" max="2781" width="1.85546875" style="75" customWidth="1"/>
    <col min="2782" max="2784" width="3" style="75" customWidth="1"/>
    <col min="2785" max="2785" width="4.42578125" style="75" customWidth="1"/>
    <col min="2786" max="2787" width="3" style="75" customWidth="1"/>
    <col min="2788" max="2793" width="3.42578125" style="75" customWidth="1"/>
    <col min="2794" max="2795" width="9.140625" style="75" customWidth="1"/>
    <col min="2796" max="2799" width="3.42578125" style="75" customWidth="1"/>
    <col min="2800" max="2800" width="4.140625" style="75" customWidth="1"/>
    <col min="2801" max="2801" width="1.5703125" style="75" customWidth="1"/>
    <col min="2802" max="2806" width="3.42578125" style="75" customWidth="1"/>
    <col min="2807" max="2807" width="1.5703125" style="75" customWidth="1"/>
    <col min="2808" max="2812" width="3.42578125" style="75" customWidth="1"/>
    <col min="2813" max="2818" width="9.140625" style="75" customWidth="1"/>
    <col min="2819" max="2819" width="1.5703125" style="75" customWidth="1"/>
    <col min="2820" max="2824" width="3.42578125" style="75" customWidth="1"/>
    <col min="2825" max="2825" width="1.5703125" style="75" customWidth="1"/>
    <col min="2826" max="2826" width="16.5703125" style="75" bestFit="1" customWidth="1"/>
    <col min="2827" max="2828" width="10.42578125" style="75" customWidth="1"/>
    <col min="2829" max="2829" width="18" style="75" bestFit="1" customWidth="1"/>
    <col min="2830" max="3014" width="9.140625" style="75"/>
    <col min="3015" max="3022" width="9.140625" style="75" customWidth="1"/>
    <col min="3023" max="3023" width="10.140625" style="75" customWidth="1"/>
    <col min="3024" max="3024" width="1" style="75" customWidth="1"/>
    <col min="3025" max="3027" width="3.42578125" style="75" customWidth="1"/>
    <col min="3028" max="3028" width="1.85546875" style="75" customWidth="1"/>
    <col min="3029" max="3029" width="17.85546875" style="75" customWidth="1"/>
    <col min="3030" max="3030" width="1.85546875" style="75" customWidth="1"/>
    <col min="3031" max="3033" width="3.42578125" style="75" customWidth="1"/>
    <col min="3034" max="3034" width="2.85546875" style="75" customWidth="1"/>
    <col min="3035" max="3035" width="1.85546875" style="75" customWidth="1"/>
    <col min="3036" max="3036" width="19.5703125" style="75" customWidth="1"/>
    <col min="3037" max="3037" width="1.85546875" style="75" customWidth="1"/>
    <col min="3038" max="3040" width="3" style="75" customWidth="1"/>
    <col min="3041" max="3041" width="4.42578125" style="75" customWidth="1"/>
    <col min="3042" max="3043" width="3" style="75" customWidth="1"/>
    <col min="3044" max="3049" width="3.42578125" style="75" customWidth="1"/>
    <col min="3050" max="3051" width="9.140625" style="75" customWidth="1"/>
    <col min="3052" max="3055" width="3.42578125" style="75" customWidth="1"/>
    <col min="3056" max="3056" width="4.140625" style="75" customWidth="1"/>
    <col min="3057" max="3057" width="1.5703125" style="75" customWidth="1"/>
    <col min="3058" max="3062" width="3.42578125" style="75" customWidth="1"/>
    <col min="3063" max="3063" width="1.5703125" style="75" customWidth="1"/>
    <col min="3064" max="3068" width="3.42578125" style="75" customWidth="1"/>
    <col min="3069" max="3074" width="9.140625" style="75" customWidth="1"/>
    <col min="3075" max="3075" width="1.5703125" style="75" customWidth="1"/>
    <col min="3076" max="3080" width="3.42578125" style="75" customWidth="1"/>
    <col min="3081" max="3081" width="1.5703125" style="75" customWidth="1"/>
    <col min="3082" max="3082" width="16.5703125" style="75" bestFit="1" customWidth="1"/>
    <col min="3083" max="3084" width="10.42578125" style="75" customWidth="1"/>
    <col min="3085" max="3085" width="18" style="75" bestFit="1" customWidth="1"/>
    <col min="3086" max="3270" width="9.140625" style="75"/>
    <col min="3271" max="3278" width="9.140625" style="75" customWidth="1"/>
    <col min="3279" max="3279" width="10.140625" style="75" customWidth="1"/>
    <col min="3280" max="3280" width="1" style="75" customWidth="1"/>
    <col min="3281" max="3283" width="3.42578125" style="75" customWidth="1"/>
    <col min="3284" max="3284" width="1.85546875" style="75" customWidth="1"/>
    <col min="3285" max="3285" width="17.85546875" style="75" customWidth="1"/>
    <col min="3286" max="3286" width="1.85546875" style="75" customWidth="1"/>
    <col min="3287" max="3289" width="3.42578125" style="75" customWidth="1"/>
    <col min="3290" max="3290" width="2.85546875" style="75" customWidth="1"/>
    <col min="3291" max="3291" width="1.85546875" style="75" customWidth="1"/>
    <col min="3292" max="3292" width="19.5703125" style="75" customWidth="1"/>
    <col min="3293" max="3293" width="1.85546875" style="75" customWidth="1"/>
    <col min="3294" max="3296" width="3" style="75" customWidth="1"/>
    <col min="3297" max="3297" width="4.42578125" style="75" customWidth="1"/>
    <col min="3298" max="3299" width="3" style="75" customWidth="1"/>
    <col min="3300" max="3305" width="3.42578125" style="75" customWidth="1"/>
    <col min="3306" max="3307" width="9.140625" style="75" customWidth="1"/>
    <col min="3308" max="3311" width="3.42578125" style="75" customWidth="1"/>
    <col min="3312" max="3312" width="4.140625" style="75" customWidth="1"/>
    <col min="3313" max="3313" width="1.5703125" style="75" customWidth="1"/>
    <col min="3314" max="3318" width="3.42578125" style="75" customWidth="1"/>
    <col min="3319" max="3319" width="1.5703125" style="75" customWidth="1"/>
    <col min="3320" max="3324" width="3.42578125" style="75" customWidth="1"/>
    <col min="3325" max="3330" width="9.140625" style="75" customWidth="1"/>
    <col min="3331" max="3331" width="1.5703125" style="75" customWidth="1"/>
    <col min="3332" max="3336" width="3.42578125" style="75" customWidth="1"/>
    <col min="3337" max="3337" width="1.5703125" style="75" customWidth="1"/>
    <col min="3338" max="3338" width="16.5703125" style="75" bestFit="1" customWidth="1"/>
    <col min="3339" max="3340" width="10.42578125" style="75" customWidth="1"/>
    <col min="3341" max="3341" width="18" style="75" bestFit="1" customWidth="1"/>
    <col min="3342" max="3526" width="9.140625" style="75"/>
    <col min="3527" max="3534" width="9.140625" style="75" customWidth="1"/>
    <col min="3535" max="3535" width="10.140625" style="75" customWidth="1"/>
    <col min="3536" max="3536" width="1" style="75" customWidth="1"/>
    <col min="3537" max="3539" width="3.42578125" style="75" customWidth="1"/>
    <col min="3540" max="3540" width="1.85546875" style="75" customWidth="1"/>
    <col min="3541" max="3541" width="17.85546875" style="75" customWidth="1"/>
    <col min="3542" max="3542" width="1.85546875" style="75" customWidth="1"/>
    <col min="3543" max="3545" width="3.42578125" style="75" customWidth="1"/>
    <col min="3546" max="3546" width="2.85546875" style="75" customWidth="1"/>
    <col min="3547" max="3547" width="1.85546875" style="75" customWidth="1"/>
    <col min="3548" max="3548" width="19.5703125" style="75" customWidth="1"/>
    <col min="3549" max="3549" width="1.85546875" style="75" customWidth="1"/>
    <col min="3550" max="3552" width="3" style="75" customWidth="1"/>
    <col min="3553" max="3553" width="4.42578125" style="75" customWidth="1"/>
    <col min="3554" max="3555" width="3" style="75" customWidth="1"/>
    <col min="3556" max="3561" width="3.42578125" style="75" customWidth="1"/>
    <col min="3562" max="3563" width="9.140625" style="75" customWidth="1"/>
    <col min="3564" max="3567" width="3.42578125" style="75" customWidth="1"/>
    <col min="3568" max="3568" width="4.140625" style="75" customWidth="1"/>
    <col min="3569" max="3569" width="1.5703125" style="75" customWidth="1"/>
    <col min="3570" max="3574" width="3.42578125" style="75" customWidth="1"/>
    <col min="3575" max="3575" width="1.5703125" style="75" customWidth="1"/>
    <col min="3576" max="3580" width="3.42578125" style="75" customWidth="1"/>
    <col min="3581" max="3586" width="9.140625" style="75" customWidth="1"/>
    <col min="3587" max="3587" width="1.5703125" style="75" customWidth="1"/>
    <col min="3588" max="3592" width="3.42578125" style="75" customWidth="1"/>
    <col min="3593" max="3593" width="1.5703125" style="75" customWidth="1"/>
    <col min="3594" max="3594" width="16.5703125" style="75" bestFit="1" customWidth="1"/>
    <col min="3595" max="3596" width="10.42578125" style="75" customWidth="1"/>
    <col min="3597" max="3597" width="18" style="75" bestFit="1" customWidth="1"/>
    <col min="3598" max="3782" width="9.140625" style="75"/>
    <col min="3783" max="3790" width="9.140625" style="75" customWidth="1"/>
    <col min="3791" max="3791" width="10.140625" style="75" customWidth="1"/>
    <col min="3792" max="3792" width="1" style="75" customWidth="1"/>
    <col min="3793" max="3795" width="3.42578125" style="75" customWidth="1"/>
    <col min="3796" max="3796" width="1.85546875" style="75" customWidth="1"/>
    <col min="3797" max="3797" width="17.85546875" style="75" customWidth="1"/>
    <col min="3798" max="3798" width="1.85546875" style="75" customWidth="1"/>
    <col min="3799" max="3801" width="3.42578125" style="75" customWidth="1"/>
    <col min="3802" max="3802" width="2.85546875" style="75" customWidth="1"/>
    <col min="3803" max="3803" width="1.85546875" style="75" customWidth="1"/>
    <col min="3804" max="3804" width="19.5703125" style="75" customWidth="1"/>
    <col min="3805" max="3805" width="1.85546875" style="75" customWidth="1"/>
    <col min="3806" max="3808" width="3" style="75" customWidth="1"/>
    <col min="3809" max="3809" width="4.42578125" style="75" customWidth="1"/>
    <col min="3810" max="3811" width="3" style="75" customWidth="1"/>
    <col min="3812" max="3817" width="3.42578125" style="75" customWidth="1"/>
    <col min="3818" max="3819" width="9.140625" style="75" customWidth="1"/>
    <col min="3820" max="3823" width="3.42578125" style="75" customWidth="1"/>
    <col min="3824" max="3824" width="4.140625" style="75" customWidth="1"/>
    <col min="3825" max="3825" width="1.5703125" style="75" customWidth="1"/>
    <col min="3826" max="3830" width="3.42578125" style="75" customWidth="1"/>
    <col min="3831" max="3831" width="1.5703125" style="75" customWidth="1"/>
    <col min="3832" max="3836" width="3.42578125" style="75" customWidth="1"/>
    <col min="3837" max="3842" width="9.140625" style="75" customWidth="1"/>
    <col min="3843" max="3843" width="1.5703125" style="75" customWidth="1"/>
    <col min="3844" max="3848" width="3.42578125" style="75" customWidth="1"/>
    <col min="3849" max="3849" width="1.5703125" style="75" customWidth="1"/>
    <col min="3850" max="3850" width="16.5703125" style="75" bestFit="1" customWidth="1"/>
    <col min="3851" max="3852" width="10.42578125" style="75" customWidth="1"/>
    <col min="3853" max="3853" width="18" style="75" bestFit="1" customWidth="1"/>
    <col min="3854" max="4038" width="9.140625" style="75"/>
    <col min="4039" max="4046" width="9.140625" style="75" customWidth="1"/>
    <col min="4047" max="4047" width="10.140625" style="75" customWidth="1"/>
    <col min="4048" max="4048" width="1" style="75" customWidth="1"/>
    <col min="4049" max="4051" width="3.42578125" style="75" customWidth="1"/>
    <col min="4052" max="4052" width="1.85546875" style="75" customWidth="1"/>
    <col min="4053" max="4053" width="17.85546875" style="75" customWidth="1"/>
    <col min="4054" max="4054" width="1.85546875" style="75" customWidth="1"/>
    <col min="4055" max="4057" width="3.42578125" style="75" customWidth="1"/>
    <col min="4058" max="4058" width="2.85546875" style="75" customWidth="1"/>
    <col min="4059" max="4059" width="1.85546875" style="75" customWidth="1"/>
    <col min="4060" max="4060" width="19.5703125" style="75" customWidth="1"/>
    <col min="4061" max="4061" width="1.85546875" style="75" customWidth="1"/>
    <col min="4062" max="4064" width="3" style="75" customWidth="1"/>
    <col min="4065" max="4065" width="4.42578125" style="75" customWidth="1"/>
    <col min="4066" max="4067" width="3" style="75" customWidth="1"/>
    <col min="4068" max="4073" width="3.42578125" style="75" customWidth="1"/>
    <col min="4074" max="4075" width="9.140625" style="75" customWidth="1"/>
    <col min="4076" max="4079" width="3.42578125" style="75" customWidth="1"/>
    <col min="4080" max="4080" width="4.140625" style="75" customWidth="1"/>
    <col min="4081" max="4081" width="1.5703125" style="75" customWidth="1"/>
    <col min="4082" max="4086" width="3.42578125" style="75" customWidth="1"/>
    <col min="4087" max="4087" width="1.5703125" style="75" customWidth="1"/>
    <col min="4088" max="4092" width="3.42578125" style="75" customWidth="1"/>
    <col min="4093" max="4098" width="9.140625" style="75" customWidth="1"/>
    <col min="4099" max="4099" width="1.5703125" style="75" customWidth="1"/>
    <col min="4100" max="4104" width="3.42578125" style="75" customWidth="1"/>
    <col min="4105" max="4105" width="1.5703125" style="75" customWidth="1"/>
    <col min="4106" max="4106" width="16.5703125" style="75" bestFit="1" customWidth="1"/>
    <col min="4107" max="4108" width="10.42578125" style="75" customWidth="1"/>
    <col min="4109" max="4109" width="18" style="75" bestFit="1" customWidth="1"/>
    <col min="4110" max="4294" width="9.140625" style="75"/>
    <col min="4295" max="4302" width="9.140625" style="75" customWidth="1"/>
    <col min="4303" max="4303" width="10.140625" style="75" customWidth="1"/>
    <col min="4304" max="4304" width="1" style="75" customWidth="1"/>
    <col min="4305" max="4307" width="3.42578125" style="75" customWidth="1"/>
    <col min="4308" max="4308" width="1.85546875" style="75" customWidth="1"/>
    <col min="4309" max="4309" width="17.85546875" style="75" customWidth="1"/>
    <col min="4310" max="4310" width="1.85546875" style="75" customWidth="1"/>
    <col min="4311" max="4313" width="3.42578125" style="75" customWidth="1"/>
    <col min="4314" max="4314" width="2.85546875" style="75" customWidth="1"/>
    <col min="4315" max="4315" width="1.85546875" style="75" customWidth="1"/>
    <col min="4316" max="4316" width="19.5703125" style="75" customWidth="1"/>
    <col min="4317" max="4317" width="1.85546875" style="75" customWidth="1"/>
    <col min="4318" max="4320" width="3" style="75" customWidth="1"/>
    <col min="4321" max="4321" width="4.42578125" style="75" customWidth="1"/>
    <col min="4322" max="4323" width="3" style="75" customWidth="1"/>
    <col min="4324" max="4329" width="3.42578125" style="75" customWidth="1"/>
    <col min="4330" max="4331" width="9.140625" style="75" customWidth="1"/>
    <col min="4332" max="4335" width="3.42578125" style="75" customWidth="1"/>
    <col min="4336" max="4336" width="4.140625" style="75" customWidth="1"/>
    <col min="4337" max="4337" width="1.5703125" style="75" customWidth="1"/>
    <col min="4338" max="4342" width="3.42578125" style="75" customWidth="1"/>
    <col min="4343" max="4343" width="1.5703125" style="75" customWidth="1"/>
    <col min="4344" max="4348" width="3.42578125" style="75" customWidth="1"/>
    <col min="4349" max="4354" width="9.140625" style="75" customWidth="1"/>
    <col min="4355" max="4355" width="1.5703125" style="75" customWidth="1"/>
    <col min="4356" max="4360" width="3.42578125" style="75" customWidth="1"/>
    <col min="4361" max="4361" width="1.5703125" style="75" customWidth="1"/>
    <col min="4362" max="4362" width="16.5703125" style="75" bestFit="1" customWidth="1"/>
    <col min="4363" max="4364" width="10.42578125" style="75" customWidth="1"/>
    <col min="4365" max="4365" width="18" style="75" bestFit="1" customWidth="1"/>
    <col min="4366" max="4550" width="9.140625" style="75"/>
    <col min="4551" max="4558" width="9.140625" style="75" customWidth="1"/>
    <col min="4559" max="4559" width="10.140625" style="75" customWidth="1"/>
    <col min="4560" max="4560" width="1" style="75" customWidth="1"/>
    <col min="4561" max="4563" width="3.42578125" style="75" customWidth="1"/>
    <col min="4564" max="4564" width="1.85546875" style="75" customWidth="1"/>
    <col min="4565" max="4565" width="17.85546875" style="75" customWidth="1"/>
    <col min="4566" max="4566" width="1.85546875" style="75" customWidth="1"/>
    <col min="4567" max="4569" width="3.42578125" style="75" customWidth="1"/>
    <col min="4570" max="4570" width="2.85546875" style="75" customWidth="1"/>
    <col min="4571" max="4571" width="1.85546875" style="75" customWidth="1"/>
    <col min="4572" max="4572" width="19.5703125" style="75" customWidth="1"/>
    <col min="4573" max="4573" width="1.85546875" style="75" customWidth="1"/>
    <col min="4574" max="4576" width="3" style="75" customWidth="1"/>
    <col min="4577" max="4577" width="4.42578125" style="75" customWidth="1"/>
    <col min="4578" max="4579" width="3" style="75" customWidth="1"/>
    <col min="4580" max="4585" width="3.42578125" style="75" customWidth="1"/>
    <col min="4586" max="4587" width="9.140625" style="75" customWidth="1"/>
    <col min="4588" max="4591" width="3.42578125" style="75" customWidth="1"/>
    <col min="4592" max="4592" width="4.140625" style="75" customWidth="1"/>
    <col min="4593" max="4593" width="1.5703125" style="75" customWidth="1"/>
    <col min="4594" max="4598" width="3.42578125" style="75" customWidth="1"/>
    <col min="4599" max="4599" width="1.5703125" style="75" customWidth="1"/>
    <col min="4600" max="4604" width="3.42578125" style="75" customWidth="1"/>
    <col min="4605" max="4610" width="9.140625" style="75" customWidth="1"/>
    <col min="4611" max="4611" width="1.5703125" style="75" customWidth="1"/>
    <col min="4612" max="4616" width="3.42578125" style="75" customWidth="1"/>
    <col min="4617" max="4617" width="1.5703125" style="75" customWidth="1"/>
    <col min="4618" max="4618" width="16.5703125" style="75" bestFit="1" customWidth="1"/>
    <col min="4619" max="4620" width="10.42578125" style="75" customWidth="1"/>
    <col min="4621" max="4621" width="18" style="75" bestFit="1" customWidth="1"/>
    <col min="4622" max="4806" width="9.140625" style="75"/>
    <col min="4807" max="4814" width="9.140625" style="75" customWidth="1"/>
    <col min="4815" max="4815" width="10.140625" style="75" customWidth="1"/>
    <col min="4816" max="4816" width="1" style="75" customWidth="1"/>
    <col min="4817" max="4819" width="3.42578125" style="75" customWidth="1"/>
    <col min="4820" max="4820" width="1.85546875" style="75" customWidth="1"/>
    <col min="4821" max="4821" width="17.85546875" style="75" customWidth="1"/>
    <col min="4822" max="4822" width="1.85546875" style="75" customWidth="1"/>
    <col min="4823" max="4825" width="3.42578125" style="75" customWidth="1"/>
    <col min="4826" max="4826" width="2.85546875" style="75" customWidth="1"/>
    <col min="4827" max="4827" width="1.85546875" style="75" customWidth="1"/>
    <col min="4828" max="4828" width="19.5703125" style="75" customWidth="1"/>
    <col min="4829" max="4829" width="1.85546875" style="75" customWidth="1"/>
    <col min="4830" max="4832" width="3" style="75" customWidth="1"/>
    <col min="4833" max="4833" width="4.42578125" style="75" customWidth="1"/>
    <col min="4834" max="4835" width="3" style="75" customWidth="1"/>
    <col min="4836" max="4841" width="3.42578125" style="75" customWidth="1"/>
    <col min="4842" max="4843" width="9.140625" style="75" customWidth="1"/>
    <col min="4844" max="4847" width="3.42578125" style="75" customWidth="1"/>
    <col min="4848" max="4848" width="4.140625" style="75" customWidth="1"/>
    <col min="4849" max="4849" width="1.5703125" style="75" customWidth="1"/>
    <col min="4850" max="4854" width="3.42578125" style="75" customWidth="1"/>
    <col min="4855" max="4855" width="1.5703125" style="75" customWidth="1"/>
    <col min="4856" max="4860" width="3.42578125" style="75" customWidth="1"/>
    <col min="4861" max="4866" width="9.140625" style="75" customWidth="1"/>
    <col min="4867" max="4867" width="1.5703125" style="75" customWidth="1"/>
    <col min="4868" max="4872" width="3.42578125" style="75" customWidth="1"/>
    <col min="4873" max="4873" width="1.5703125" style="75" customWidth="1"/>
    <col min="4874" max="4874" width="16.5703125" style="75" bestFit="1" customWidth="1"/>
    <col min="4875" max="4876" width="10.42578125" style="75" customWidth="1"/>
    <col min="4877" max="4877" width="18" style="75" bestFit="1" customWidth="1"/>
    <col min="4878" max="5062" width="9.140625" style="75"/>
    <col min="5063" max="5070" width="9.140625" style="75" customWidth="1"/>
    <col min="5071" max="5071" width="10.140625" style="75" customWidth="1"/>
    <col min="5072" max="5072" width="1" style="75" customWidth="1"/>
    <col min="5073" max="5075" width="3.42578125" style="75" customWidth="1"/>
    <col min="5076" max="5076" width="1.85546875" style="75" customWidth="1"/>
    <col min="5077" max="5077" width="17.85546875" style="75" customWidth="1"/>
    <col min="5078" max="5078" width="1.85546875" style="75" customWidth="1"/>
    <col min="5079" max="5081" width="3.42578125" style="75" customWidth="1"/>
    <col min="5082" max="5082" width="2.85546875" style="75" customWidth="1"/>
    <col min="5083" max="5083" width="1.85546875" style="75" customWidth="1"/>
    <col min="5084" max="5084" width="19.5703125" style="75" customWidth="1"/>
    <col min="5085" max="5085" width="1.85546875" style="75" customWidth="1"/>
    <col min="5086" max="5088" width="3" style="75" customWidth="1"/>
    <col min="5089" max="5089" width="4.42578125" style="75" customWidth="1"/>
    <col min="5090" max="5091" width="3" style="75" customWidth="1"/>
    <col min="5092" max="5097" width="3.42578125" style="75" customWidth="1"/>
    <col min="5098" max="5099" width="9.140625" style="75" customWidth="1"/>
    <col min="5100" max="5103" width="3.42578125" style="75" customWidth="1"/>
    <col min="5104" max="5104" width="4.140625" style="75" customWidth="1"/>
    <col min="5105" max="5105" width="1.5703125" style="75" customWidth="1"/>
    <col min="5106" max="5110" width="3.42578125" style="75" customWidth="1"/>
    <col min="5111" max="5111" width="1.5703125" style="75" customWidth="1"/>
    <col min="5112" max="5116" width="3.42578125" style="75" customWidth="1"/>
    <col min="5117" max="5122" width="9.140625" style="75" customWidth="1"/>
    <col min="5123" max="5123" width="1.5703125" style="75" customWidth="1"/>
    <col min="5124" max="5128" width="3.42578125" style="75" customWidth="1"/>
    <col min="5129" max="5129" width="1.5703125" style="75" customWidth="1"/>
    <col min="5130" max="5130" width="16.5703125" style="75" bestFit="1" customWidth="1"/>
    <col min="5131" max="5132" width="10.42578125" style="75" customWidth="1"/>
    <col min="5133" max="5133" width="18" style="75" bestFit="1" customWidth="1"/>
    <col min="5134" max="5318" width="9.140625" style="75"/>
    <col min="5319" max="5326" width="9.140625" style="75" customWidth="1"/>
    <col min="5327" max="5327" width="10.140625" style="75" customWidth="1"/>
    <col min="5328" max="5328" width="1" style="75" customWidth="1"/>
    <col min="5329" max="5331" width="3.42578125" style="75" customWidth="1"/>
    <col min="5332" max="5332" width="1.85546875" style="75" customWidth="1"/>
    <col min="5333" max="5333" width="17.85546875" style="75" customWidth="1"/>
    <col min="5334" max="5334" width="1.85546875" style="75" customWidth="1"/>
    <col min="5335" max="5337" width="3.42578125" style="75" customWidth="1"/>
    <col min="5338" max="5338" width="2.85546875" style="75" customWidth="1"/>
    <col min="5339" max="5339" width="1.85546875" style="75" customWidth="1"/>
    <col min="5340" max="5340" width="19.5703125" style="75" customWidth="1"/>
    <col min="5341" max="5341" width="1.85546875" style="75" customWidth="1"/>
    <col min="5342" max="5344" width="3" style="75" customWidth="1"/>
    <col min="5345" max="5345" width="4.42578125" style="75" customWidth="1"/>
    <col min="5346" max="5347" width="3" style="75" customWidth="1"/>
    <col min="5348" max="5353" width="3.42578125" style="75" customWidth="1"/>
    <col min="5354" max="5355" width="9.140625" style="75" customWidth="1"/>
    <col min="5356" max="5359" width="3.42578125" style="75" customWidth="1"/>
    <col min="5360" max="5360" width="4.140625" style="75" customWidth="1"/>
    <col min="5361" max="5361" width="1.5703125" style="75" customWidth="1"/>
    <col min="5362" max="5366" width="3.42578125" style="75" customWidth="1"/>
    <col min="5367" max="5367" width="1.5703125" style="75" customWidth="1"/>
    <col min="5368" max="5372" width="3.42578125" style="75" customWidth="1"/>
    <col min="5373" max="5378" width="9.140625" style="75" customWidth="1"/>
    <col min="5379" max="5379" width="1.5703125" style="75" customWidth="1"/>
    <col min="5380" max="5384" width="3.42578125" style="75" customWidth="1"/>
    <col min="5385" max="5385" width="1.5703125" style="75" customWidth="1"/>
    <col min="5386" max="5386" width="16.5703125" style="75" bestFit="1" customWidth="1"/>
    <col min="5387" max="5388" width="10.42578125" style="75" customWidth="1"/>
    <col min="5389" max="5389" width="18" style="75" bestFit="1" customWidth="1"/>
    <col min="5390" max="5574" width="9.140625" style="75"/>
    <col min="5575" max="5582" width="9.140625" style="75" customWidth="1"/>
    <col min="5583" max="5583" width="10.140625" style="75" customWidth="1"/>
    <col min="5584" max="5584" width="1" style="75" customWidth="1"/>
    <col min="5585" max="5587" width="3.42578125" style="75" customWidth="1"/>
    <col min="5588" max="5588" width="1.85546875" style="75" customWidth="1"/>
    <col min="5589" max="5589" width="17.85546875" style="75" customWidth="1"/>
    <col min="5590" max="5590" width="1.85546875" style="75" customWidth="1"/>
    <col min="5591" max="5593" width="3.42578125" style="75" customWidth="1"/>
    <col min="5594" max="5594" width="2.85546875" style="75" customWidth="1"/>
    <col min="5595" max="5595" width="1.85546875" style="75" customWidth="1"/>
    <col min="5596" max="5596" width="19.5703125" style="75" customWidth="1"/>
    <col min="5597" max="5597" width="1.85546875" style="75" customWidth="1"/>
    <col min="5598" max="5600" width="3" style="75" customWidth="1"/>
    <col min="5601" max="5601" width="4.42578125" style="75" customWidth="1"/>
    <col min="5602" max="5603" width="3" style="75" customWidth="1"/>
    <col min="5604" max="5609" width="3.42578125" style="75" customWidth="1"/>
    <col min="5610" max="5611" width="9.140625" style="75" customWidth="1"/>
    <col min="5612" max="5615" width="3.42578125" style="75" customWidth="1"/>
    <col min="5616" max="5616" width="4.140625" style="75" customWidth="1"/>
    <col min="5617" max="5617" width="1.5703125" style="75" customWidth="1"/>
    <col min="5618" max="5622" width="3.42578125" style="75" customWidth="1"/>
    <col min="5623" max="5623" width="1.5703125" style="75" customWidth="1"/>
    <col min="5624" max="5628" width="3.42578125" style="75" customWidth="1"/>
    <col min="5629" max="5634" width="9.140625" style="75" customWidth="1"/>
    <col min="5635" max="5635" width="1.5703125" style="75" customWidth="1"/>
    <col min="5636" max="5640" width="3.42578125" style="75" customWidth="1"/>
    <col min="5641" max="5641" width="1.5703125" style="75" customWidth="1"/>
    <col min="5642" max="5642" width="16.5703125" style="75" bestFit="1" customWidth="1"/>
    <col min="5643" max="5644" width="10.42578125" style="75" customWidth="1"/>
    <col min="5645" max="5645" width="18" style="75" bestFit="1" customWidth="1"/>
    <col min="5646" max="5830" width="9.140625" style="75"/>
    <col min="5831" max="5838" width="9.140625" style="75" customWidth="1"/>
    <col min="5839" max="5839" width="10.140625" style="75" customWidth="1"/>
    <col min="5840" max="5840" width="1" style="75" customWidth="1"/>
    <col min="5841" max="5843" width="3.42578125" style="75" customWidth="1"/>
    <col min="5844" max="5844" width="1.85546875" style="75" customWidth="1"/>
    <col min="5845" max="5845" width="17.85546875" style="75" customWidth="1"/>
    <col min="5846" max="5846" width="1.85546875" style="75" customWidth="1"/>
    <col min="5847" max="5849" width="3.42578125" style="75" customWidth="1"/>
    <col min="5850" max="5850" width="2.85546875" style="75" customWidth="1"/>
    <col min="5851" max="5851" width="1.85546875" style="75" customWidth="1"/>
    <col min="5852" max="5852" width="19.5703125" style="75" customWidth="1"/>
    <col min="5853" max="5853" width="1.85546875" style="75" customWidth="1"/>
    <col min="5854" max="5856" width="3" style="75" customWidth="1"/>
    <col min="5857" max="5857" width="4.42578125" style="75" customWidth="1"/>
    <col min="5858" max="5859" width="3" style="75" customWidth="1"/>
    <col min="5860" max="5865" width="3.42578125" style="75" customWidth="1"/>
    <col min="5866" max="5867" width="9.140625" style="75" customWidth="1"/>
    <col min="5868" max="5871" width="3.42578125" style="75" customWidth="1"/>
    <col min="5872" max="5872" width="4.140625" style="75" customWidth="1"/>
    <col min="5873" max="5873" width="1.5703125" style="75" customWidth="1"/>
    <col min="5874" max="5878" width="3.42578125" style="75" customWidth="1"/>
    <col min="5879" max="5879" width="1.5703125" style="75" customWidth="1"/>
    <col min="5880" max="5884" width="3.42578125" style="75" customWidth="1"/>
    <col min="5885" max="5890" width="9.140625" style="75" customWidth="1"/>
    <col min="5891" max="5891" width="1.5703125" style="75" customWidth="1"/>
    <col min="5892" max="5896" width="3.42578125" style="75" customWidth="1"/>
    <col min="5897" max="5897" width="1.5703125" style="75" customWidth="1"/>
    <col min="5898" max="5898" width="16.5703125" style="75" bestFit="1" customWidth="1"/>
    <col min="5899" max="5900" width="10.42578125" style="75" customWidth="1"/>
    <col min="5901" max="5901" width="18" style="75" bestFit="1" customWidth="1"/>
    <col min="5902" max="6086" width="9.140625" style="75"/>
    <col min="6087" max="6094" width="9.140625" style="75" customWidth="1"/>
    <col min="6095" max="6095" width="10.140625" style="75" customWidth="1"/>
    <col min="6096" max="6096" width="1" style="75" customWidth="1"/>
    <col min="6097" max="6099" width="3.42578125" style="75" customWidth="1"/>
    <col min="6100" max="6100" width="1.85546875" style="75" customWidth="1"/>
    <col min="6101" max="6101" width="17.85546875" style="75" customWidth="1"/>
    <col min="6102" max="6102" width="1.85546875" style="75" customWidth="1"/>
    <col min="6103" max="6105" width="3.42578125" style="75" customWidth="1"/>
    <col min="6106" max="6106" width="2.85546875" style="75" customWidth="1"/>
    <col min="6107" max="6107" width="1.85546875" style="75" customWidth="1"/>
    <col min="6108" max="6108" width="19.5703125" style="75" customWidth="1"/>
    <col min="6109" max="6109" width="1.85546875" style="75" customWidth="1"/>
    <col min="6110" max="6112" width="3" style="75" customWidth="1"/>
    <col min="6113" max="6113" width="4.42578125" style="75" customWidth="1"/>
    <col min="6114" max="6115" width="3" style="75" customWidth="1"/>
    <col min="6116" max="6121" width="3.42578125" style="75" customWidth="1"/>
    <col min="6122" max="6123" width="9.140625" style="75" customWidth="1"/>
    <col min="6124" max="6127" width="3.42578125" style="75" customWidth="1"/>
    <col min="6128" max="6128" width="4.140625" style="75" customWidth="1"/>
    <col min="6129" max="6129" width="1.5703125" style="75" customWidth="1"/>
    <col min="6130" max="6134" width="3.42578125" style="75" customWidth="1"/>
    <col min="6135" max="6135" width="1.5703125" style="75" customWidth="1"/>
    <col min="6136" max="6140" width="3.42578125" style="75" customWidth="1"/>
    <col min="6141" max="6146" width="9.140625" style="75" customWidth="1"/>
    <col min="6147" max="6147" width="1.5703125" style="75" customWidth="1"/>
    <col min="6148" max="6152" width="3.42578125" style="75" customWidth="1"/>
    <col min="6153" max="6153" width="1.5703125" style="75" customWidth="1"/>
    <col min="6154" max="6154" width="16.5703125" style="75" bestFit="1" customWidth="1"/>
    <col min="6155" max="6156" width="10.42578125" style="75" customWidth="1"/>
    <col min="6157" max="6157" width="18" style="75" bestFit="1" customWidth="1"/>
    <col min="6158" max="6342" width="9.140625" style="75"/>
    <col min="6343" max="6350" width="9.140625" style="75" customWidth="1"/>
    <col min="6351" max="6351" width="10.140625" style="75" customWidth="1"/>
    <col min="6352" max="6352" width="1" style="75" customWidth="1"/>
    <col min="6353" max="6355" width="3.42578125" style="75" customWidth="1"/>
    <col min="6356" max="6356" width="1.85546875" style="75" customWidth="1"/>
    <col min="6357" max="6357" width="17.85546875" style="75" customWidth="1"/>
    <col min="6358" max="6358" width="1.85546875" style="75" customWidth="1"/>
    <col min="6359" max="6361" width="3.42578125" style="75" customWidth="1"/>
    <col min="6362" max="6362" width="2.85546875" style="75" customWidth="1"/>
    <col min="6363" max="6363" width="1.85546875" style="75" customWidth="1"/>
    <col min="6364" max="6364" width="19.5703125" style="75" customWidth="1"/>
    <col min="6365" max="6365" width="1.85546875" style="75" customWidth="1"/>
    <col min="6366" max="6368" width="3" style="75" customWidth="1"/>
    <col min="6369" max="6369" width="4.42578125" style="75" customWidth="1"/>
    <col min="6370" max="6371" width="3" style="75" customWidth="1"/>
    <col min="6372" max="6377" width="3.42578125" style="75" customWidth="1"/>
    <col min="6378" max="6379" width="9.140625" style="75" customWidth="1"/>
    <col min="6380" max="6383" width="3.42578125" style="75" customWidth="1"/>
    <col min="6384" max="6384" width="4.140625" style="75" customWidth="1"/>
    <col min="6385" max="6385" width="1.5703125" style="75" customWidth="1"/>
    <col min="6386" max="6390" width="3.42578125" style="75" customWidth="1"/>
    <col min="6391" max="6391" width="1.5703125" style="75" customWidth="1"/>
    <col min="6392" max="6396" width="3.42578125" style="75" customWidth="1"/>
    <col min="6397" max="6402" width="9.140625" style="75" customWidth="1"/>
    <col min="6403" max="6403" width="1.5703125" style="75" customWidth="1"/>
    <col min="6404" max="6408" width="3.42578125" style="75" customWidth="1"/>
    <col min="6409" max="6409" width="1.5703125" style="75" customWidth="1"/>
    <col min="6410" max="6410" width="16.5703125" style="75" bestFit="1" customWidth="1"/>
    <col min="6411" max="6412" width="10.42578125" style="75" customWidth="1"/>
    <col min="6413" max="6413" width="18" style="75" bestFit="1" customWidth="1"/>
    <col min="6414" max="6598" width="9.140625" style="75"/>
    <col min="6599" max="6606" width="9.140625" style="75" customWidth="1"/>
    <col min="6607" max="6607" width="10.140625" style="75" customWidth="1"/>
    <col min="6608" max="6608" width="1" style="75" customWidth="1"/>
    <col min="6609" max="6611" width="3.42578125" style="75" customWidth="1"/>
    <col min="6612" max="6612" width="1.85546875" style="75" customWidth="1"/>
    <col min="6613" max="6613" width="17.85546875" style="75" customWidth="1"/>
    <col min="6614" max="6614" width="1.85546875" style="75" customWidth="1"/>
    <col min="6615" max="6617" width="3.42578125" style="75" customWidth="1"/>
    <col min="6618" max="6618" width="2.85546875" style="75" customWidth="1"/>
    <col min="6619" max="6619" width="1.85546875" style="75" customWidth="1"/>
    <col min="6620" max="6620" width="19.5703125" style="75" customWidth="1"/>
    <col min="6621" max="6621" width="1.85546875" style="75" customWidth="1"/>
    <col min="6622" max="6624" width="3" style="75" customWidth="1"/>
    <col min="6625" max="6625" width="4.42578125" style="75" customWidth="1"/>
    <col min="6626" max="6627" width="3" style="75" customWidth="1"/>
    <col min="6628" max="6633" width="3.42578125" style="75" customWidth="1"/>
    <col min="6634" max="6635" width="9.140625" style="75" customWidth="1"/>
    <col min="6636" max="6639" width="3.42578125" style="75" customWidth="1"/>
    <col min="6640" max="6640" width="4.140625" style="75" customWidth="1"/>
    <col min="6641" max="6641" width="1.5703125" style="75" customWidth="1"/>
    <col min="6642" max="6646" width="3.42578125" style="75" customWidth="1"/>
    <col min="6647" max="6647" width="1.5703125" style="75" customWidth="1"/>
    <col min="6648" max="6652" width="3.42578125" style="75" customWidth="1"/>
    <col min="6653" max="6658" width="9.140625" style="75" customWidth="1"/>
    <col min="6659" max="6659" width="1.5703125" style="75" customWidth="1"/>
    <col min="6660" max="6664" width="3.42578125" style="75" customWidth="1"/>
    <col min="6665" max="6665" width="1.5703125" style="75" customWidth="1"/>
    <col min="6666" max="6666" width="16.5703125" style="75" bestFit="1" customWidth="1"/>
    <col min="6667" max="6668" width="10.42578125" style="75" customWidth="1"/>
    <col min="6669" max="6669" width="18" style="75" bestFit="1" customWidth="1"/>
    <col min="6670" max="6854" width="9.140625" style="75"/>
    <col min="6855" max="6862" width="9.140625" style="75" customWidth="1"/>
    <col min="6863" max="6863" width="10.140625" style="75" customWidth="1"/>
    <col min="6864" max="6864" width="1" style="75" customWidth="1"/>
    <col min="6865" max="6867" width="3.42578125" style="75" customWidth="1"/>
    <col min="6868" max="6868" width="1.85546875" style="75" customWidth="1"/>
    <col min="6869" max="6869" width="17.85546875" style="75" customWidth="1"/>
    <col min="6870" max="6870" width="1.85546875" style="75" customWidth="1"/>
    <col min="6871" max="6873" width="3.42578125" style="75" customWidth="1"/>
    <col min="6874" max="6874" width="2.85546875" style="75" customWidth="1"/>
    <col min="6875" max="6875" width="1.85546875" style="75" customWidth="1"/>
    <col min="6876" max="6876" width="19.5703125" style="75" customWidth="1"/>
    <col min="6877" max="6877" width="1.85546875" style="75" customWidth="1"/>
    <col min="6878" max="6880" width="3" style="75" customWidth="1"/>
    <col min="6881" max="6881" width="4.42578125" style="75" customWidth="1"/>
    <col min="6882" max="6883" width="3" style="75" customWidth="1"/>
    <col min="6884" max="6889" width="3.42578125" style="75" customWidth="1"/>
    <col min="6890" max="6891" width="9.140625" style="75" customWidth="1"/>
    <col min="6892" max="6895" width="3.42578125" style="75" customWidth="1"/>
    <col min="6896" max="6896" width="4.140625" style="75" customWidth="1"/>
    <col min="6897" max="6897" width="1.5703125" style="75" customWidth="1"/>
    <col min="6898" max="6902" width="3.42578125" style="75" customWidth="1"/>
    <col min="6903" max="6903" width="1.5703125" style="75" customWidth="1"/>
    <col min="6904" max="6908" width="3.42578125" style="75" customWidth="1"/>
    <col min="6909" max="6914" width="9.140625" style="75" customWidth="1"/>
    <col min="6915" max="6915" width="1.5703125" style="75" customWidth="1"/>
    <col min="6916" max="6920" width="3.42578125" style="75" customWidth="1"/>
    <col min="6921" max="6921" width="1.5703125" style="75" customWidth="1"/>
    <col min="6922" max="6922" width="16.5703125" style="75" bestFit="1" customWidth="1"/>
    <col min="6923" max="6924" width="10.42578125" style="75" customWidth="1"/>
    <col min="6925" max="6925" width="18" style="75" bestFit="1" customWidth="1"/>
    <col min="6926" max="7110" width="9.140625" style="75"/>
    <col min="7111" max="7118" width="9.140625" style="75" customWidth="1"/>
    <col min="7119" max="7119" width="10.140625" style="75" customWidth="1"/>
    <col min="7120" max="7120" width="1" style="75" customWidth="1"/>
    <col min="7121" max="7123" width="3.42578125" style="75" customWidth="1"/>
    <col min="7124" max="7124" width="1.85546875" style="75" customWidth="1"/>
    <col min="7125" max="7125" width="17.85546875" style="75" customWidth="1"/>
    <col min="7126" max="7126" width="1.85546875" style="75" customWidth="1"/>
    <col min="7127" max="7129" width="3.42578125" style="75" customWidth="1"/>
    <col min="7130" max="7130" width="2.85546875" style="75" customWidth="1"/>
    <col min="7131" max="7131" width="1.85546875" style="75" customWidth="1"/>
    <col min="7132" max="7132" width="19.5703125" style="75" customWidth="1"/>
    <col min="7133" max="7133" width="1.85546875" style="75" customWidth="1"/>
    <col min="7134" max="7136" width="3" style="75" customWidth="1"/>
    <col min="7137" max="7137" width="4.42578125" style="75" customWidth="1"/>
    <col min="7138" max="7139" width="3" style="75" customWidth="1"/>
    <col min="7140" max="7145" width="3.42578125" style="75" customWidth="1"/>
    <col min="7146" max="7147" width="9.140625" style="75" customWidth="1"/>
    <col min="7148" max="7151" width="3.42578125" style="75" customWidth="1"/>
    <col min="7152" max="7152" width="4.140625" style="75" customWidth="1"/>
    <col min="7153" max="7153" width="1.5703125" style="75" customWidth="1"/>
    <col min="7154" max="7158" width="3.42578125" style="75" customWidth="1"/>
    <col min="7159" max="7159" width="1.5703125" style="75" customWidth="1"/>
    <col min="7160" max="7164" width="3.42578125" style="75" customWidth="1"/>
    <col min="7165" max="7170" width="9.140625" style="75" customWidth="1"/>
    <col min="7171" max="7171" width="1.5703125" style="75" customWidth="1"/>
    <col min="7172" max="7176" width="3.42578125" style="75" customWidth="1"/>
    <col min="7177" max="7177" width="1.5703125" style="75" customWidth="1"/>
    <col min="7178" max="7178" width="16.5703125" style="75" bestFit="1" customWidth="1"/>
    <col min="7179" max="7180" width="10.42578125" style="75" customWidth="1"/>
    <col min="7181" max="7181" width="18" style="75" bestFit="1" customWidth="1"/>
    <col min="7182" max="7366" width="9.140625" style="75"/>
    <col min="7367" max="7374" width="9.140625" style="75" customWidth="1"/>
    <col min="7375" max="7375" width="10.140625" style="75" customWidth="1"/>
    <col min="7376" max="7376" width="1" style="75" customWidth="1"/>
    <col min="7377" max="7379" width="3.42578125" style="75" customWidth="1"/>
    <col min="7380" max="7380" width="1.85546875" style="75" customWidth="1"/>
    <col min="7381" max="7381" width="17.85546875" style="75" customWidth="1"/>
    <col min="7382" max="7382" width="1.85546875" style="75" customWidth="1"/>
    <col min="7383" max="7385" width="3.42578125" style="75" customWidth="1"/>
    <col min="7386" max="7386" width="2.85546875" style="75" customWidth="1"/>
    <col min="7387" max="7387" width="1.85546875" style="75" customWidth="1"/>
    <col min="7388" max="7388" width="19.5703125" style="75" customWidth="1"/>
    <col min="7389" max="7389" width="1.85546875" style="75" customWidth="1"/>
    <col min="7390" max="7392" width="3" style="75" customWidth="1"/>
    <col min="7393" max="7393" width="4.42578125" style="75" customWidth="1"/>
    <col min="7394" max="7395" width="3" style="75" customWidth="1"/>
    <col min="7396" max="7401" width="3.42578125" style="75" customWidth="1"/>
    <col min="7402" max="7403" width="9.140625" style="75" customWidth="1"/>
    <col min="7404" max="7407" width="3.42578125" style="75" customWidth="1"/>
    <col min="7408" max="7408" width="4.140625" style="75" customWidth="1"/>
    <col min="7409" max="7409" width="1.5703125" style="75" customWidth="1"/>
    <col min="7410" max="7414" width="3.42578125" style="75" customWidth="1"/>
    <col min="7415" max="7415" width="1.5703125" style="75" customWidth="1"/>
    <col min="7416" max="7420" width="3.42578125" style="75" customWidth="1"/>
    <col min="7421" max="7426" width="9.140625" style="75" customWidth="1"/>
    <col min="7427" max="7427" width="1.5703125" style="75" customWidth="1"/>
    <col min="7428" max="7432" width="3.42578125" style="75" customWidth="1"/>
    <col min="7433" max="7433" width="1.5703125" style="75" customWidth="1"/>
    <col min="7434" max="7434" width="16.5703125" style="75" bestFit="1" customWidth="1"/>
    <col min="7435" max="7436" width="10.42578125" style="75" customWidth="1"/>
    <col min="7437" max="7437" width="18" style="75" bestFit="1" customWidth="1"/>
    <col min="7438" max="7622" width="9.140625" style="75"/>
    <col min="7623" max="7630" width="9.140625" style="75" customWidth="1"/>
    <col min="7631" max="7631" width="10.140625" style="75" customWidth="1"/>
    <col min="7632" max="7632" width="1" style="75" customWidth="1"/>
    <col min="7633" max="7635" width="3.42578125" style="75" customWidth="1"/>
    <col min="7636" max="7636" width="1.85546875" style="75" customWidth="1"/>
    <col min="7637" max="7637" width="17.85546875" style="75" customWidth="1"/>
    <col min="7638" max="7638" width="1.85546875" style="75" customWidth="1"/>
    <col min="7639" max="7641" width="3.42578125" style="75" customWidth="1"/>
    <col min="7642" max="7642" width="2.85546875" style="75" customWidth="1"/>
    <col min="7643" max="7643" width="1.85546875" style="75" customWidth="1"/>
    <col min="7644" max="7644" width="19.5703125" style="75" customWidth="1"/>
    <col min="7645" max="7645" width="1.85546875" style="75" customWidth="1"/>
    <col min="7646" max="7648" width="3" style="75" customWidth="1"/>
    <col min="7649" max="7649" width="4.42578125" style="75" customWidth="1"/>
    <col min="7650" max="7651" width="3" style="75" customWidth="1"/>
    <col min="7652" max="7657" width="3.42578125" style="75" customWidth="1"/>
    <col min="7658" max="7659" width="9.140625" style="75" customWidth="1"/>
    <col min="7660" max="7663" width="3.42578125" style="75" customWidth="1"/>
    <col min="7664" max="7664" width="4.140625" style="75" customWidth="1"/>
    <col min="7665" max="7665" width="1.5703125" style="75" customWidth="1"/>
    <col min="7666" max="7670" width="3.42578125" style="75" customWidth="1"/>
    <col min="7671" max="7671" width="1.5703125" style="75" customWidth="1"/>
    <col min="7672" max="7676" width="3.42578125" style="75" customWidth="1"/>
    <col min="7677" max="7682" width="9.140625" style="75" customWidth="1"/>
    <col min="7683" max="7683" width="1.5703125" style="75" customWidth="1"/>
    <col min="7684" max="7688" width="3.42578125" style="75" customWidth="1"/>
    <col min="7689" max="7689" width="1.5703125" style="75" customWidth="1"/>
    <col min="7690" max="7690" width="16.5703125" style="75" bestFit="1" customWidth="1"/>
    <col min="7691" max="7692" width="10.42578125" style="75" customWidth="1"/>
    <col min="7693" max="7693" width="18" style="75" bestFit="1" customWidth="1"/>
    <col min="7694" max="7878" width="9.140625" style="75"/>
    <col min="7879" max="7886" width="9.140625" style="75" customWidth="1"/>
    <col min="7887" max="7887" width="10.140625" style="75" customWidth="1"/>
    <col min="7888" max="7888" width="1" style="75" customWidth="1"/>
    <col min="7889" max="7891" width="3.42578125" style="75" customWidth="1"/>
    <col min="7892" max="7892" width="1.85546875" style="75" customWidth="1"/>
    <col min="7893" max="7893" width="17.85546875" style="75" customWidth="1"/>
    <col min="7894" max="7894" width="1.85546875" style="75" customWidth="1"/>
    <col min="7895" max="7897" width="3.42578125" style="75" customWidth="1"/>
    <col min="7898" max="7898" width="2.85546875" style="75" customWidth="1"/>
    <col min="7899" max="7899" width="1.85546875" style="75" customWidth="1"/>
    <col min="7900" max="7900" width="19.5703125" style="75" customWidth="1"/>
    <col min="7901" max="7901" width="1.85546875" style="75" customWidth="1"/>
    <col min="7902" max="7904" width="3" style="75" customWidth="1"/>
    <col min="7905" max="7905" width="4.42578125" style="75" customWidth="1"/>
    <col min="7906" max="7907" width="3" style="75" customWidth="1"/>
    <col min="7908" max="7913" width="3.42578125" style="75" customWidth="1"/>
    <col min="7914" max="7915" width="9.140625" style="75" customWidth="1"/>
    <col min="7916" max="7919" width="3.42578125" style="75" customWidth="1"/>
    <col min="7920" max="7920" width="4.140625" style="75" customWidth="1"/>
    <col min="7921" max="7921" width="1.5703125" style="75" customWidth="1"/>
    <col min="7922" max="7926" width="3.42578125" style="75" customWidth="1"/>
    <col min="7927" max="7927" width="1.5703125" style="75" customWidth="1"/>
    <col min="7928" max="7932" width="3.42578125" style="75" customWidth="1"/>
    <col min="7933" max="7938" width="9.140625" style="75" customWidth="1"/>
    <col min="7939" max="7939" width="1.5703125" style="75" customWidth="1"/>
    <col min="7940" max="7944" width="3.42578125" style="75" customWidth="1"/>
    <col min="7945" max="7945" width="1.5703125" style="75" customWidth="1"/>
    <col min="7946" max="7946" width="16.5703125" style="75" bestFit="1" customWidth="1"/>
    <col min="7947" max="7948" width="10.42578125" style="75" customWidth="1"/>
    <col min="7949" max="7949" width="18" style="75" bestFit="1" customWidth="1"/>
    <col min="7950" max="8134" width="9.140625" style="75"/>
    <col min="8135" max="8142" width="9.140625" style="75" customWidth="1"/>
    <col min="8143" max="8143" width="10.140625" style="75" customWidth="1"/>
    <col min="8144" max="8144" width="1" style="75" customWidth="1"/>
    <col min="8145" max="8147" width="3.42578125" style="75" customWidth="1"/>
    <col min="8148" max="8148" width="1.85546875" style="75" customWidth="1"/>
    <col min="8149" max="8149" width="17.85546875" style="75" customWidth="1"/>
    <col min="8150" max="8150" width="1.85546875" style="75" customWidth="1"/>
    <col min="8151" max="8153" width="3.42578125" style="75" customWidth="1"/>
    <col min="8154" max="8154" width="2.85546875" style="75" customWidth="1"/>
    <col min="8155" max="8155" width="1.85546875" style="75" customWidth="1"/>
    <col min="8156" max="8156" width="19.5703125" style="75" customWidth="1"/>
    <col min="8157" max="8157" width="1.85546875" style="75" customWidth="1"/>
    <col min="8158" max="8160" width="3" style="75" customWidth="1"/>
    <col min="8161" max="8161" width="4.42578125" style="75" customWidth="1"/>
    <col min="8162" max="8163" width="3" style="75" customWidth="1"/>
    <col min="8164" max="8169" width="3.42578125" style="75" customWidth="1"/>
    <col min="8170" max="8171" width="9.140625" style="75" customWidth="1"/>
    <col min="8172" max="8175" width="3.42578125" style="75" customWidth="1"/>
    <col min="8176" max="8176" width="4.140625" style="75" customWidth="1"/>
    <col min="8177" max="8177" width="1.5703125" style="75" customWidth="1"/>
    <col min="8178" max="8182" width="3.42578125" style="75" customWidth="1"/>
    <col min="8183" max="8183" width="1.5703125" style="75" customWidth="1"/>
    <col min="8184" max="8188" width="3.42578125" style="75" customWidth="1"/>
    <col min="8189" max="8194" width="9.140625" style="75" customWidth="1"/>
    <col min="8195" max="8195" width="1.5703125" style="75" customWidth="1"/>
    <col min="8196" max="8200" width="3.42578125" style="75" customWidth="1"/>
    <col min="8201" max="8201" width="1.5703125" style="75" customWidth="1"/>
    <col min="8202" max="8202" width="16.5703125" style="75" bestFit="1" customWidth="1"/>
    <col min="8203" max="8204" width="10.42578125" style="75" customWidth="1"/>
    <col min="8205" max="8205" width="18" style="75" bestFit="1" customWidth="1"/>
    <col min="8206" max="8390" width="9.140625" style="75"/>
    <col min="8391" max="8398" width="9.140625" style="75" customWidth="1"/>
    <col min="8399" max="8399" width="10.140625" style="75" customWidth="1"/>
    <col min="8400" max="8400" width="1" style="75" customWidth="1"/>
    <col min="8401" max="8403" width="3.42578125" style="75" customWidth="1"/>
    <col min="8404" max="8404" width="1.85546875" style="75" customWidth="1"/>
    <col min="8405" max="8405" width="17.85546875" style="75" customWidth="1"/>
    <col min="8406" max="8406" width="1.85546875" style="75" customWidth="1"/>
    <col min="8407" max="8409" width="3.42578125" style="75" customWidth="1"/>
    <col min="8410" max="8410" width="2.85546875" style="75" customWidth="1"/>
    <col min="8411" max="8411" width="1.85546875" style="75" customWidth="1"/>
    <col min="8412" max="8412" width="19.5703125" style="75" customWidth="1"/>
    <col min="8413" max="8413" width="1.85546875" style="75" customWidth="1"/>
    <col min="8414" max="8416" width="3" style="75" customWidth="1"/>
    <col min="8417" max="8417" width="4.42578125" style="75" customWidth="1"/>
    <col min="8418" max="8419" width="3" style="75" customWidth="1"/>
    <col min="8420" max="8425" width="3.42578125" style="75" customWidth="1"/>
    <col min="8426" max="8427" width="9.140625" style="75" customWidth="1"/>
    <col min="8428" max="8431" width="3.42578125" style="75" customWidth="1"/>
    <col min="8432" max="8432" width="4.140625" style="75" customWidth="1"/>
    <col min="8433" max="8433" width="1.5703125" style="75" customWidth="1"/>
    <col min="8434" max="8438" width="3.42578125" style="75" customWidth="1"/>
    <col min="8439" max="8439" width="1.5703125" style="75" customWidth="1"/>
    <col min="8440" max="8444" width="3.42578125" style="75" customWidth="1"/>
    <col min="8445" max="8450" width="9.140625" style="75" customWidth="1"/>
    <col min="8451" max="8451" width="1.5703125" style="75" customWidth="1"/>
    <col min="8452" max="8456" width="3.42578125" style="75" customWidth="1"/>
    <col min="8457" max="8457" width="1.5703125" style="75" customWidth="1"/>
    <col min="8458" max="8458" width="16.5703125" style="75" bestFit="1" customWidth="1"/>
    <col min="8459" max="8460" width="10.42578125" style="75" customWidth="1"/>
    <col min="8461" max="8461" width="18" style="75" bestFit="1" customWidth="1"/>
    <col min="8462" max="8646" width="9.140625" style="75"/>
    <col min="8647" max="8654" width="9.140625" style="75" customWidth="1"/>
    <col min="8655" max="8655" width="10.140625" style="75" customWidth="1"/>
    <col min="8656" max="8656" width="1" style="75" customWidth="1"/>
    <col min="8657" max="8659" width="3.42578125" style="75" customWidth="1"/>
    <col min="8660" max="8660" width="1.85546875" style="75" customWidth="1"/>
    <col min="8661" max="8661" width="17.85546875" style="75" customWidth="1"/>
    <col min="8662" max="8662" width="1.85546875" style="75" customWidth="1"/>
    <col min="8663" max="8665" width="3.42578125" style="75" customWidth="1"/>
    <col min="8666" max="8666" width="2.85546875" style="75" customWidth="1"/>
    <col min="8667" max="8667" width="1.85546875" style="75" customWidth="1"/>
    <col min="8668" max="8668" width="19.5703125" style="75" customWidth="1"/>
    <col min="8669" max="8669" width="1.85546875" style="75" customWidth="1"/>
    <col min="8670" max="8672" width="3" style="75" customWidth="1"/>
    <col min="8673" max="8673" width="4.42578125" style="75" customWidth="1"/>
    <col min="8674" max="8675" width="3" style="75" customWidth="1"/>
    <col min="8676" max="8681" width="3.42578125" style="75" customWidth="1"/>
    <col min="8682" max="8683" width="9.140625" style="75" customWidth="1"/>
    <col min="8684" max="8687" width="3.42578125" style="75" customWidth="1"/>
    <col min="8688" max="8688" width="4.140625" style="75" customWidth="1"/>
    <col min="8689" max="8689" width="1.5703125" style="75" customWidth="1"/>
    <col min="8690" max="8694" width="3.42578125" style="75" customWidth="1"/>
    <col min="8695" max="8695" width="1.5703125" style="75" customWidth="1"/>
    <col min="8696" max="8700" width="3.42578125" style="75" customWidth="1"/>
    <col min="8701" max="8706" width="9.140625" style="75" customWidth="1"/>
    <col min="8707" max="8707" width="1.5703125" style="75" customWidth="1"/>
    <col min="8708" max="8712" width="3.42578125" style="75" customWidth="1"/>
    <col min="8713" max="8713" width="1.5703125" style="75" customWidth="1"/>
    <col min="8714" max="8714" width="16.5703125" style="75" bestFit="1" customWidth="1"/>
    <col min="8715" max="8716" width="10.42578125" style="75" customWidth="1"/>
    <col min="8717" max="8717" width="18" style="75" bestFit="1" customWidth="1"/>
    <col min="8718" max="8902" width="9.140625" style="75"/>
    <col min="8903" max="8910" width="9.140625" style="75" customWidth="1"/>
    <col min="8911" max="8911" width="10.140625" style="75" customWidth="1"/>
    <col min="8912" max="8912" width="1" style="75" customWidth="1"/>
    <col min="8913" max="8915" width="3.42578125" style="75" customWidth="1"/>
    <col min="8916" max="8916" width="1.85546875" style="75" customWidth="1"/>
    <col min="8917" max="8917" width="17.85546875" style="75" customWidth="1"/>
    <col min="8918" max="8918" width="1.85546875" style="75" customWidth="1"/>
    <col min="8919" max="8921" width="3.42578125" style="75" customWidth="1"/>
    <col min="8922" max="8922" width="2.85546875" style="75" customWidth="1"/>
    <col min="8923" max="8923" width="1.85546875" style="75" customWidth="1"/>
    <col min="8924" max="8924" width="19.5703125" style="75" customWidth="1"/>
    <col min="8925" max="8925" width="1.85546875" style="75" customWidth="1"/>
    <col min="8926" max="8928" width="3" style="75" customWidth="1"/>
    <col min="8929" max="8929" width="4.42578125" style="75" customWidth="1"/>
    <col min="8930" max="8931" width="3" style="75" customWidth="1"/>
    <col min="8932" max="8937" width="3.42578125" style="75" customWidth="1"/>
    <col min="8938" max="8939" width="9.140625" style="75" customWidth="1"/>
    <col min="8940" max="8943" width="3.42578125" style="75" customWidth="1"/>
    <col min="8944" max="8944" width="4.140625" style="75" customWidth="1"/>
    <col min="8945" max="8945" width="1.5703125" style="75" customWidth="1"/>
    <col min="8946" max="8950" width="3.42578125" style="75" customWidth="1"/>
    <col min="8951" max="8951" width="1.5703125" style="75" customWidth="1"/>
    <col min="8952" max="8956" width="3.42578125" style="75" customWidth="1"/>
    <col min="8957" max="8962" width="9.140625" style="75" customWidth="1"/>
    <col min="8963" max="8963" width="1.5703125" style="75" customWidth="1"/>
    <col min="8964" max="8968" width="3.42578125" style="75" customWidth="1"/>
    <col min="8969" max="8969" width="1.5703125" style="75" customWidth="1"/>
    <col min="8970" max="8970" width="16.5703125" style="75" bestFit="1" customWidth="1"/>
    <col min="8971" max="8972" width="10.42578125" style="75" customWidth="1"/>
    <col min="8973" max="8973" width="18" style="75" bestFit="1" customWidth="1"/>
    <col min="8974" max="9158" width="9.140625" style="75"/>
    <col min="9159" max="9166" width="9.140625" style="75" customWidth="1"/>
    <col min="9167" max="9167" width="10.140625" style="75" customWidth="1"/>
    <col min="9168" max="9168" width="1" style="75" customWidth="1"/>
    <col min="9169" max="9171" width="3.42578125" style="75" customWidth="1"/>
    <col min="9172" max="9172" width="1.85546875" style="75" customWidth="1"/>
    <col min="9173" max="9173" width="17.85546875" style="75" customWidth="1"/>
    <col min="9174" max="9174" width="1.85546875" style="75" customWidth="1"/>
    <col min="9175" max="9177" width="3.42578125" style="75" customWidth="1"/>
    <col min="9178" max="9178" width="2.85546875" style="75" customWidth="1"/>
    <col min="9179" max="9179" width="1.85546875" style="75" customWidth="1"/>
    <col min="9180" max="9180" width="19.5703125" style="75" customWidth="1"/>
    <col min="9181" max="9181" width="1.85546875" style="75" customWidth="1"/>
    <col min="9182" max="9184" width="3" style="75" customWidth="1"/>
    <col min="9185" max="9185" width="4.42578125" style="75" customWidth="1"/>
    <col min="9186" max="9187" width="3" style="75" customWidth="1"/>
    <col min="9188" max="9193" width="3.42578125" style="75" customWidth="1"/>
    <col min="9194" max="9195" width="9.140625" style="75" customWidth="1"/>
    <col min="9196" max="9199" width="3.42578125" style="75" customWidth="1"/>
    <col min="9200" max="9200" width="4.140625" style="75" customWidth="1"/>
    <col min="9201" max="9201" width="1.5703125" style="75" customWidth="1"/>
    <col min="9202" max="9206" width="3.42578125" style="75" customWidth="1"/>
    <col min="9207" max="9207" width="1.5703125" style="75" customWidth="1"/>
    <col min="9208" max="9212" width="3.42578125" style="75" customWidth="1"/>
    <col min="9213" max="9218" width="9.140625" style="75" customWidth="1"/>
    <col min="9219" max="9219" width="1.5703125" style="75" customWidth="1"/>
    <col min="9220" max="9224" width="3.42578125" style="75" customWidth="1"/>
    <col min="9225" max="9225" width="1.5703125" style="75" customWidth="1"/>
    <col min="9226" max="9226" width="16.5703125" style="75" bestFit="1" customWidth="1"/>
    <col min="9227" max="9228" width="10.42578125" style="75" customWidth="1"/>
    <col min="9229" max="9229" width="18" style="75" bestFit="1" customWidth="1"/>
    <col min="9230" max="9414" width="9.140625" style="75"/>
    <col min="9415" max="9422" width="9.140625" style="75" customWidth="1"/>
    <col min="9423" max="9423" width="10.140625" style="75" customWidth="1"/>
    <col min="9424" max="9424" width="1" style="75" customWidth="1"/>
    <col min="9425" max="9427" width="3.42578125" style="75" customWidth="1"/>
    <col min="9428" max="9428" width="1.85546875" style="75" customWidth="1"/>
    <col min="9429" max="9429" width="17.85546875" style="75" customWidth="1"/>
    <col min="9430" max="9430" width="1.85546875" style="75" customWidth="1"/>
    <col min="9431" max="9433" width="3.42578125" style="75" customWidth="1"/>
    <col min="9434" max="9434" width="2.85546875" style="75" customWidth="1"/>
    <col min="9435" max="9435" width="1.85546875" style="75" customWidth="1"/>
    <col min="9436" max="9436" width="19.5703125" style="75" customWidth="1"/>
    <col min="9437" max="9437" width="1.85546875" style="75" customWidth="1"/>
    <col min="9438" max="9440" width="3" style="75" customWidth="1"/>
    <col min="9441" max="9441" width="4.42578125" style="75" customWidth="1"/>
    <col min="9442" max="9443" width="3" style="75" customWidth="1"/>
    <col min="9444" max="9449" width="3.42578125" style="75" customWidth="1"/>
    <col min="9450" max="9451" width="9.140625" style="75" customWidth="1"/>
    <col min="9452" max="9455" width="3.42578125" style="75" customWidth="1"/>
    <col min="9456" max="9456" width="4.140625" style="75" customWidth="1"/>
    <col min="9457" max="9457" width="1.5703125" style="75" customWidth="1"/>
    <col min="9458" max="9462" width="3.42578125" style="75" customWidth="1"/>
    <col min="9463" max="9463" width="1.5703125" style="75" customWidth="1"/>
    <col min="9464" max="9468" width="3.42578125" style="75" customWidth="1"/>
    <col min="9469" max="9474" width="9.140625" style="75" customWidth="1"/>
    <col min="9475" max="9475" width="1.5703125" style="75" customWidth="1"/>
    <col min="9476" max="9480" width="3.42578125" style="75" customWidth="1"/>
    <col min="9481" max="9481" width="1.5703125" style="75" customWidth="1"/>
    <col min="9482" max="9482" width="16.5703125" style="75" bestFit="1" customWidth="1"/>
    <col min="9483" max="9484" width="10.42578125" style="75" customWidth="1"/>
    <col min="9485" max="9485" width="18" style="75" bestFit="1" customWidth="1"/>
    <col min="9486" max="9670" width="9.140625" style="75"/>
    <col min="9671" max="9678" width="9.140625" style="75" customWidth="1"/>
    <col min="9679" max="9679" width="10.140625" style="75" customWidth="1"/>
    <col min="9680" max="9680" width="1" style="75" customWidth="1"/>
    <col min="9681" max="9683" width="3.42578125" style="75" customWidth="1"/>
    <col min="9684" max="9684" width="1.85546875" style="75" customWidth="1"/>
    <col min="9685" max="9685" width="17.85546875" style="75" customWidth="1"/>
    <col min="9686" max="9686" width="1.85546875" style="75" customWidth="1"/>
    <col min="9687" max="9689" width="3.42578125" style="75" customWidth="1"/>
    <col min="9690" max="9690" width="2.85546875" style="75" customWidth="1"/>
    <col min="9691" max="9691" width="1.85546875" style="75" customWidth="1"/>
    <col min="9692" max="9692" width="19.5703125" style="75" customWidth="1"/>
    <col min="9693" max="9693" width="1.85546875" style="75" customWidth="1"/>
    <col min="9694" max="9696" width="3" style="75" customWidth="1"/>
    <col min="9697" max="9697" width="4.42578125" style="75" customWidth="1"/>
    <col min="9698" max="9699" width="3" style="75" customWidth="1"/>
    <col min="9700" max="9705" width="3.42578125" style="75" customWidth="1"/>
    <col min="9706" max="9707" width="9.140625" style="75" customWidth="1"/>
    <col min="9708" max="9711" width="3.42578125" style="75" customWidth="1"/>
    <col min="9712" max="9712" width="4.140625" style="75" customWidth="1"/>
    <col min="9713" max="9713" width="1.5703125" style="75" customWidth="1"/>
    <col min="9714" max="9718" width="3.42578125" style="75" customWidth="1"/>
    <col min="9719" max="9719" width="1.5703125" style="75" customWidth="1"/>
    <col min="9720" max="9724" width="3.42578125" style="75" customWidth="1"/>
    <col min="9725" max="9730" width="9.140625" style="75" customWidth="1"/>
    <col min="9731" max="9731" width="1.5703125" style="75" customWidth="1"/>
    <col min="9732" max="9736" width="3.42578125" style="75" customWidth="1"/>
    <col min="9737" max="9737" width="1.5703125" style="75" customWidth="1"/>
    <col min="9738" max="9738" width="16.5703125" style="75" bestFit="1" customWidth="1"/>
    <col min="9739" max="9740" width="10.42578125" style="75" customWidth="1"/>
    <col min="9741" max="9741" width="18" style="75" bestFit="1" customWidth="1"/>
    <col min="9742" max="9926" width="9.140625" style="75"/>
    <col min="9927" max="9934" width="9.140625" style="75" customWidth="1"/>
    <col min="9935" max="9935" width="10.140625" style="75" customWidth="1"/>
    <col min="9936" max="9936" width="1" style="75" customWidth="1"/>
    <col min="9937" max="9939" width="3.42578125" style="75" customWidth="1"/>
    <col min="9940" max="9940" width="1.85546875" style="75" customWidth="1"/>
    <col min="9941" max="9941" width="17.85546875" style="75" customWidth="1"/>
    <col min="9942" max="9942" width="1.85546875" style="75" customWidth="1"/>
    <col min="9943" max="9945" width="3.42578125" style="75" customWidth="1"/>
    <col min="9946" max="9946" width="2.85546875" style="75" customWidth="1"/>
    <col min="9947" max="9947" width="1.85546875" style="75" customWidth="1"/>
    <col min="9948" max="9948" width="19.5703125" style="75" customWidth="1"/>
    <col min="9949" max="9949" width="1.85546875" style="75" customWidth="1"/>
    <col min="9950" max="9952" width="3" style="75" customWidth="1"/>
    <col min="9953" max="9953" width="4.42578125" style="75" customWidth="1"/>
    <col min="9954" max="9955" width="3" style="75" customWidth="1"/>
    <col min="9956" max="9961" width="3.42578125" style="75" customWidth="1"/>
    <col min="9962" max="9963" width="9.140625" style="75" customWidth="1"/>
    <col min="9964" max="9967" width="3.42578125" style="75" customWidth="1"/>
    <col min="9968" max="9968" width="4.140625" style="75" customWidth="1"/>
    <col min="9969" max="9969" width="1.5703125" style="75" customWidth="1"/>
    <col min="9970" max="9974" width="3.42578125" style="75" customWidth="1"/>
    <col min="9975" max="9975" width="1.5703125" style="75" customWidth="1"/>
    <col min="9976" max="9980" width="3.42578125" style="75" customWidth="1"/>
    <col min="9981" max="9986" width="9.140625" style="75" customWidth="1"/>
    <col min="9987" max="9987" width="1.5703125" style="75" customWidth="1"/>
    <col min="9988" max="9992" width="3.42578125" style="75" customWidth="1"/>
    <col min="9993" max="9993" width="1.5703125" style="75" customWidth="1"/>
    <col min="9994" max="9994" width="16.5703125" style="75" bestFit="1" customWidth="1"/>
    <col min="9995" max="9996" width="10.42578125" style="75" customWidth="1"/>
    <col min="9997" max="9997" width="18" style="75" bestFit="1" customWidth="1"/>
    <col min="9998" max="10182" width="9.140625" style="75"/>
    <col min="10183" max="10190" width="9.140625" style="75" customWidth="1"/>
    <col min="10191" max="10191" width="10.140625" style="75" customWidth="1"/>
    <col min="10192" max="10192" width="1" style="75" customWidth="1"/>
    <col min="10193" max="10195" width="3.42578125" style="75" customWidth="1"/>
    <col min="10196" max="10196" width="1.85546875" style="75" customWidth="1"/>
    <col min="10197" max="10197" width="17.85546875" style="75" customWidth="1"/>
    <col min="10198" max="10198" width="1.85546875" style="75" customWidth="1"/>
    <col min="10199" max="10201" width="3.42578125" style="75" customWidth="1"/>
    <col min="10202" max="10202" width="2.85546875" style="75" customWidth="1"/>
    <col min="10203" max="10203" width="1.85546875" style="75" customWidth="1"/>
    <col min="10204" max="10204" width="19.5703125" style="75" customWidth="1"/>
    <col min="10205" max="10205" width="1.85546875" style="75" customWidth="1"/>
    <col min="10206" max="10208" width="3" style="75" customWidth="1"/>
    <col min="10209" max="10209" width="4.42578125" style="75" customWidth="1"/>
    <col min="10210" max="10211" width="3" style="75" customWidth="1"/>
    <col min="10212" max="10217" width="3.42578125" style="75" customWidth="1"/>
    <col min="10218" max="10219" width="9.140625" style="75" customWidth="1"/>
    <col min="10220" max="10223" width="3.42578125" style="75" customWidth="1"/>
    <col min="10224" max="10224" width="4.140625" style="75" customWidth="1"/>
    <col min="10225" max="10225" width="1.5703125" style="75" customWidth="1"/>
    <col min="10226" max="10230" width="3.42578125" style="75" customWidth="1"/>
    <col min="10231" max="10231" width="1.5703125" style="75" customWidth="1"/>
    <col min="10232" max="10236" width="3.42578125" style="75" customWidth="1"/>
    <col min="10237" max="10242" width="9.140625" style="75" customWidth="1"/>
    <col min="10243" max="10243" width="1.5703125" style="75" customWidth="1"/>
    <col min="10244" max="10248" width="3.42578125" style="75" customWidth="1"/>
    <col min="10249" max="10249" width="1.5703125" style="75" customWidth="1"/>
    <col min="10250" max="10250" width="16.5703125" style="75" bestFit="1" customWidth="1"/>
    <col min="10251" max="10252" width="10.42578125" style="75" customWidth="1"/>
    <col min="10253" max="10253" width="18" style="75" bestFit="1" customWidth="1"/>
    <col min="10254" max="10438" width="9.140625" style="75"/>
    <col min="10439" max="10446" width="9.140625" style="75" customWidth="1"/>
    <col min="10447" max="10447" width="10.140625" style="75" customWidth="1"/>
    <col min="10448" max="10448" width="1" style="75" customWidth="1"/>
    <col min="10449" max="10451" width="3.42578125" style="75" customWidth="1"/>
    <col min="10452" max="10452" width="1.85546875" style="75" customWidth="1"/>
    <col min="10453" max="10453" width="17.85546875" style="75" customWidth="1"/>
    <col min="10454" max="10454" width="1.85546875" style="75" customWidth="1"/>
    <col min="10455" max="10457" width="3.42578125" style="75" customWidth="1"/>
    <col min="10458" max="10458" width="2.85546875" style="75" customWidth="1"/>
    <col min="10459" max="10459" width="1.85546875" style="75" customWidth="1"/>
    <col min="10460" max="10460" width="19.5703125" style="75" customWidth="1"/>
    <col min="10461" max="10461" width="1.85546875" style="75" customWidth="1"/>
    <col min="10462" max="10464" width="3" style="75" customWidth="1"/>
    <col min="10465" max="10465" width="4.42578125" style="75" customWidth="1"/>
    <col min="10466" max="10467" width="3" style="75" customWidth="1"/>
    <col min="10468" max="10473" width="3.42578125" style="75" customWidth="1"/>
    <col min="10474" max="10475" width="9.140625" style="75" customWidth="1"/>
    <col min="10476" max="10479" width="3.42578125" style="75" customWidth="1"/>
    <col min="10480" max="10480" width="4.140625" style="75" customWidth="1"/>
    <col min="10481" max="10481" width="1.5703125" style="75" customWidth="1"/>
    <col min="10482" max="10486" width="3.42578125" style="75" customWidth="1"/>
    <col min="10487" max="10487" width="1.5703125" style="75" customWidth="1"/>
    <col min="10488" max="10492" width="3.42578125" style="75" customWidth="1"/>
    <col min="10493" max="10498" width="9.140625" style="75" customWidth="1"/>
    <col min="10499" max="10499" width="1.5703125" style="75" customWidth="1"/>
    <col min="10500" max="10504" width="3.42578125" style="75" customWidth="1"/>
    <col min="10505" max="10505" width="1.5703125" style="75" customWidth="1"/>
    <col min="10506" max="10506" width="16.5703125" style="75" bestFit="1" customWidth="1"/>
    <col min="10507" max="10508" width="10.42578125" style="75" customWidth="1"/>
    <col min="10509" max="10509" width="18" style="75" bestFit="1" customWidth="1"/>
    <col min="10510" max="10694" width="9.140625" style="75"/>
    <col min="10695" max="10702" width="9.140625" style="75" customWidth="1"/>
    <col min="10703" max="10703" width="10.140625" style="75" customWidth="1"/>
    <col min="10704" max="10704" width="1" style="75" customWidth="1"/>
    <col min="10705" max="10707" width="3.42578125" style="75" customWidth="1"/>
    <col min="10708" max="10708" width="1.85546875" style="75" customWidth="1"/>
    <col min="10709" max="10709" width="17.85546875" style="75" customWidth="1"/>
    <col min="10710" max="10710" width="1.85546875" style="75" customWidth="1"/>
    <col min="10711" max="10713" width="3.42578125" style="75" customWidth="1"/>
    <col min="10714" max="10714" width="2.85546875" style="75" customWidth="1"/>
    <col min="10715" max="10715" width="1.85546875" style="75" customWidth="1"/>
    <col min="10716" max="10716" width="19.5703125" style="75" customWidth="1"/>
    <col min="10717" max="10717" width="1.85546875" style="75" customWidth="1"/>
    <col min="10718" max="10720" width="3" style="75" customWidth="1"/>
    <col min="10721" max="10721" width="4.42578125" style="75" customWidth="1"/>
    <col min="10722" max="10723" width="3" style="75" customWidth="1"/>
    <col min="10724" max="10729" width="3.42578125" style="75" customWidth="1"/>
    <col min="10730" max="10731" width="9.140625" style="75" customWidth="1"/>
    <col min="10732" max="10735" width="3.42578125" style="75" customWidth="1"/>
    <col min="10736" max="10736" width="4.140625" style="75" customWidth="1"/>
    <col min="10737" max="10737" width="1.5703125" style="75" customWidth="1"/>
    <col min="10738" max="10742" width="3.42578125" style="75" customWidth="1"/>
    <col min="10743" max="10743" width="1.5703125" style="75" customWidth="1"/>
    <col min="10744" max="10748" width="3.42578125" style="75" customWidth="1"/>
    <col min="10749" max="10754" width="9.140625" style="75" customWidth="1"/>
    <col min="10755" max="10755" width="1.5703125" style="75" customWidth="1"/>
    <col min="10756" max="10760" width="3.42578125" style="75" customWidth="1"/>
    <col min="10761" max="10761" width="1.5703125" style="75" customWidth="1"/>
    <col min="10762" max="10762" width="16.5703125" style="75" bestFit="1" customWidth="1"/>
    <col min="10763" max="10764" width="10.42578125" style="75" customWidth="1"/>
    <col min="10765" max="10765" width="18" style="75" bestFit="1" customWidth="1"/>
    <col min="10766" max="10950" width="9.140625" style="75"/>
    <col min="10951" max="10958" width="9.140625" style="75" customWidth="1"/>
    <col min="10959" max="10959" width="10.140625" style="75" customWidth="1"/>
    <col min="10960" max="10960" width="1" style="75" customWidth="1"/>
    <col min="10961" max="10963" width="3.42578125" style="75" customWidth="1"/>
    <col min="10964" max="10964" width="1.85546875" style="75" customWidth="1"/>
    <col min="10965" max="10965" width="17.85546875" style="75" customWidth="1"/>
    <col min="10966" max="10966" width="1.85546875" style="75" customWidth="1"/>
    <col min="10967" max="10969" width="3.42578125" style="75" customWidth="1"/>
    <col min="10970" max="10970" width="2.85546875" style="75" customWidth="1"/>
    <col min="10971" max="10971" width="1.85546875" style="75" customWidth="1"/>
    <col min="10972" max="10972" width="19.5703125" style="75" customWidth="1"/>
    <col min="10973" max="10973" width="1.85546875" style="75" customWidth="1"/>
    <col min="10974" max="10976" width="3" style="75" customWidth="1"/>
    <col min="10977" max="10977" width="4.42578125" style="75" customWidth="1"/>
    <col min="10978" max="10979" width="3" style="75" customWidth="1"/>
    <col min="10980" max="10985" width="3.42578125" style="75" customWidth="1"/>
    <col min="10986" max="10987" width="9.140625" style="75" customWidth="1"/>
    <col min="10988" max="10991" width="3.42578125" style="75" customWidth="1"/>
    <col min="10992" max="10992" width="4.140625" style="75" customWidth="1"/>
    <col min="10993" max="10993" width="1.5703125" style="75" customWidth="1"/>
    <col min="10994" max="10998" width="3.42578125" style="75" customWidth="1"/>
    <col min="10999" max="10999" width="1.5703125" style="75" customWidth="1"/>
    <col min="11000" max="11004" width="3.42578125" style="75" customWidth="1"/>
    <col min="11005" max="11010" width="9.140625" style="75" customWidth="1"/>
    <col min="11011" max="11011" width="1.5703125" style="75" customWidth="1"/>
    <col min="11012" max="11016" width="3.42578125" style="75" customWidth="1"/>
    <col min="11017" max="11017" width="1.5703125" style="75" customWidth="1"/>
    <col min="11018" max="11018" width="16.5703125" style="75" bestFit="1" customWidth="1"/>
    <col min="11019" max="11020" width="10.42578125" style="75" customWidth="1"/>
    <col min="11021" max="11021" width="18" style="75" bestFit="1" customWidth="1"/>
    <col min="11022" max="11206" width="9.140625" style="75"/>
    <col min="11207" max="11214" width="9.140625" style="75" customWidth="1"/>
    <col min="11215" max="11215" width="10.140625" style="75" customWidth="1"/>
    <col min="11216" max="11216" width="1" style="75" customWidth="1"/>
    <col min="11217" max="11219" width="3.42578125" style="75" customWidth="1"/>
    <col min="11220" max="11220" width="1.85546875" style="75" customWidth="1"/>
    <col min="11221" max="11221" width="17.85546875" style="75" customWidth="1"/>
    <col min="11222" max="11222" width="1.85546875" style="75" customWidth="1"/>
    <col min="11223" max="11225" width="3.42578125" style="75" customWidth="1"/>
    <col min="11226" max="11226" width="2.85546875" style="75" customWidth="1"/>
    <col min="11227" max="11227" width="1.85546875" style="75" customWidth="1"/>
    <col min="11228" max="11228" width="19.5703125" style="75" customWidth="1"/>
    <col min="11229" max="11229" width="1.85546875" style="75" customWidth="1"/>
    <col min="11230" max="11232" width="3" style="75" customWidth="1"/>
    <col min="11233" max="11233" width="4.42578125" style="75" customWidth="1"/>
    <col min="11234" max="11235" width="3" style="75" customWidth="1"/>
    <col min="11236" max="11241" width="3.42578125" style="75" customWidth="1"/>
    <col min="11242" max="11243" width="9.140625" style="75" customWidth="1"/>
    <col min="11244" max="11247" width="3.42578125" style="75" customWidth="1"/>
    <col min="11248" max="11248" width="4.140625" style="75" customWidth="1"/>
    <col min="11249" max="11249" width="1.5703125" style="75" customWidth="1"/>
    <col min="11250" max="11254" width="3.42578125" style="75" customWidth="1"/>
    <col min="11255" max="11255" width="1.5703125" style="75" customWidth="1"/>
    <col min="11256" max="11260" width="3.42578125" style="75" customWidth="1"/>
    <col min="11261" max="11266" width="9.140625" style="75" customWidth="1"/>
    <col min="11267" max="11267" width="1.5703125" style="75" customWidth="1"/>
    <col min="11268" max="11272" width="3.42578125" style="75" customWidth="1"/>
    <col min="11273" max="11273" width="1.5703125" style="75" customWidth="1"/>
    <col min="11274" max="11274" width="16.5703125" style="75" bestFit="1" customWidth="1"/>
    <col min="11275" max="11276" width="10.42578125" style="75" customWidth="1"/>
    <col min="11277" max="11277" width="18" style="75" bestFit="1" customWidth="1"/>
    <col min="11278" max="11462" width="9.140625" style="75"/>
    <col min="11463" max="11470" width="9.140625" style="75" customWidth="1"/>
    <col min="11471" max="11471" width="10.140625" style="75" customWidth="1"/>
    <col min="11472" max="11472" width="1" style="75" customWidth="1"/>
    <col min="11473" max="11475" width="3.42578125" style="75" customWidth="1"/>
    <col min="11476" max="11476" width="1.85546875" style="75" customWidth="1"/>
    <col min="11477" max="11477" width="17.85546875" style="75" customWidth="1"/>
    <col min="11478" max="11478" width="1.85546875" style="75" customWidth="1"/>
    <col min="11479" max="11481" width="3.42578125" style="75" customWidth="1"/>
    <col min="11482" max="11482" width="2.85546875" style="75" customWidth="1"/>
    <col min="11483" max="11483" width="1.85546875" style="75" customWidth="1"/>
    <col min="11484" max="11484" width="19.5703125" style="75" customWidth="1"/>
    <col min="11485" max="11485" width="1.85546875" style="75" customWidth="1"/>
    <col min="11486" max="11488" width="3" style="75" customWidth="1"/>
    <col min="11489" max="11489" width="4.42578125" style="75" customWidth="1"/>
    <col min="11490" max="11491" width="3" style="75" customWidth="1"/>
    <col min="11492" max="11497" width="3.42578125" style="75" customWidth="1"/>
    <col min="11498" max="11499" width="9.140625" style="75" customWidth="1"/>
    <col min="11500" max="11503" width="3.42578125" style="75" customWidth="1"/>
    <col min="11504" max="11504" width="4.140625" style="75" customWidth="1"/>
    <col min="11505" max="11505" width="1.5703125" style="75" customWidth="1"/>
    <col min="11506" max="11510" width="3.42578125" style="75" customWidth="1"/>
    <col min="11511" max="11511" width="1.5703125" style="75" customWidth="1"/>
    <col min="11512" max="11516" width="3.42578125" style="75" customWidth="1"/>
    <col min="11517" max="11522" width="9.140625" style="75" customWidth="1"/>
    <col min="11523" max="11523" width="1.5703125" style="75" customWidth="1"/>
    <col min="11524" max="11528" width="3.42578125" style="75" customWidth="1"/>
    <col min="11529" max="11529" width="1.5703125" style="75" customWidth="1"/>
    <col min="11530" max="11530" width="16.5703125" style="75" bestFit="1" customWidth="1"/>
    <col min="11531" max="11532" width="10.42578125" style="75" customWidth="1"/>
    <col min="11533" max="11533" width="18" style="75" bestFit="1" customWidth="1"/>
    <col min="11534" max="11718" width="9.140625" style="75"/>
    <col min="11719" max="11726" width="9.140625" style="75" customWidth="1"/>
    <col min="11727" max="11727" width="10.140625" style="75" customWidth="1"/>
    <col min="11728" max="11728" width="1" style="75" customWidth="1"/>
    <col min="11729" max="11731" width="3.42578125" style="75" customWidth="1"/>
    <col min="11732" max="11732" width="1.85546875" style="75" customWidth="1"/>
    <col min="11733" max="11733" width="17.85546875" style="75" customWidth="1"/>
    <col min="11734" max="11734" width="1.85546875" style="75" customWidth="1"/>
    <col min="11735" max="11737" width="3.42578125" style="75" customWidth="1"/>
    <col min="11738" max="11738" width="2.85546875" style="75" customWidth="1"/>
    <col min="11739" max="11739" width="1.85546875" style="75" customWidth="1"/>
    <col min="11740" max="11740" width="19.5703125" style="75" customWidth="1"/>
    <col min="11741" max="11741" width="1.85546875" style="75" customWidth="1"/>
    <col min="11742" max="11744" width="3" style="75" customWidth="1"/>
    <col min="11745" max="11745" width="4.42578125" style="75" customWidth="1"/>
    <col min="11746" max="11747" width="3" style="75" customWidth="1"/>
    <col min="11748" max="11753" width="3.42578125" style="75" customWidth="1"/>
    <col min="11754" max="11755" width="9.140625" style="75" customWidth="1"/>
    <col min="11756" max="11759" width="3.42578125" style="75" customWidth="1"/>
    <col min="11760" max="11760" width="4.140625" style="75" customWidth="1"/>
    <col min="11761" max="11761" width="1.5703125" style="75" customWidth="1"/>
    <col min="11762" max="11766" width="3.42578125" style="75" customWidth="1"/>
    <col min="11767" max="11767" width="1.5703125" style="75" customWidth="1"/>
    <col min="11768" max="11772" width="3.42578125" style="75" customWidth="1"/>
    <col min="11773" max="11778" width="9.140625" style="75" customWidth="1"/>
    <col min="11779" max="11779" width="1.5703125" style="75" customWidth="1"/>
    <col min="11780" max="11784" width="3.42578125" style="75" customWidth="1"/>
    <col min="11785" max="11785" width="1.5703125" style="75" customWidth="1"/>
    <col min="11786" max="11786" width="16.5703125" style="75" bestFit="1" customWidth="1"/>
    <col min="11787" max="11788" width="10.42578125" style="75" customWidth="1"/>
    <col min="11789" max="11789" width="18" style="75" bestFit="1" customWidth="1"/>
    <col min="11790" max="11974" width="9.140625" style="75"/>
    <col min="11975" max="11982" width="9.140625" style="75" customWidth="1"/>
    <col min="11983" max="11983" width="10.140625" style="75" customWidth="1"/>
    <col min="11984" max="11984" width="1" style="75" customWidth="1"/>
    <col min="11985" max="11987" width="3.42578125" style="75" customWidth="1"/>
    <col min="11988" max="11988" width="1.85546875" style="75" customWidth="1"/>
    <col min="11989" max="11989" width="17.85546875" style="75" customWidth="1"/>
    <col min="11990" max="11990" width="1.85546875" style="75" customWidth="1"/>
    <col min="11991" max="11993" width="3.42578125" style="75" customWidth="1"/>
    <col min="11994" max="11994" width="2.85546875" style="75" customWidth="1"/>
    <col min="11995" max="11995" width="1.85546875" style="75" customWidth="1"/>
    <col min="11996" max="11996" width="19.5703125" style="75" customWidth="1"/>
    <col min="11997" max="11997" width="1.85546875" style="75" customWidth="1"/>
    <col min="11998" max="12000" width="3" style="75" customWidth="1"/>
    <col min="12001" max="12001" width="4.42578125" style="75" customWidth="1"/>
    <col min="12002" max="12003" width="3" style="75" customWidth="1"/>
    <col min="12004" max="12009" width="3.42578125" style="75" customWidth="1"/>
    <col min="12010" max="12011" width="9.140625" style="75" customWidth="1"/>
    <col min="12012" max="12015" width="3.42578125" style="75" customWidth="1"/>
    <col min="12016" max="12016" width="4.140625" style="75" customWidth="1"/>
    <col min="12017" max="12017" width="1.5703125" style="75" customWidth="1"/>
    <col min="12018" max="12022" width="3.42578125" style="75" customWidth="1"/>
    <col min="12023" max="12023" width="1.5703125" style="75" customWidth="1"/>
    <col min="12024" max="12028" width="3.42578125" style="75" customWidth="1"/>
    <col min="12029" max="12034" width="9.140625" style="75" customWidth="1"/>
    <col min="12035" max="12035" width="1.5703125" style="75" customWidth="1"/>
    <col min="12036" max="12040" width="3.42578125" style="75" customWidth="1"/>
    <col min="12041" max="12041" width="1.5703125" style="75" customWidth="1"/>
    <col min="12042" max="12042" width="16.5703125" style="75" bestFit="1" customWidth="1"/>
    <col min="12043" max="12044" width="10.42578125" style="75" customWidth="1"/>
    <col min="12045" max="12045" width="18" style="75" bestFit="1" customWidth="1"/>
    <col min="12046" max="12230" width="9.140625" style="75"/>
    <col min="12231" max="12238" width="9.140625" style="75" customWidth="1"/>
    <col min="12239" max="12239" width="10.140625" style="75" customWidth="1"/>
    <col min="12240" max="12240" width="1" style="75" customWidth="1"/>
    <col min="12241" max="12243" width="3.42578125" style="75" customWidth="1"/>
    <col min="12244" max="12244" width="1.85546875" style="75" customWidth="1"/>
    <col min="12245" max="12245" width="17.85546875" style="75" customWidth="1"/>
    <col min="12246" max="12246" width="1.85546875" style="75" customWidth="1"/>
    <col min="12247" max="12249" width="3.42578125" style="75" customWidth="1"/>
    <col min="12250" max="12250" width="2.85546875" style="75" customWidth="1"/>
    <col min="12251" max="12251" width="1.85546875" style="75" customWidth="1"/>
    <col min="12252" max="12252" width="19.5703125" style="75" customWidth="1"/>
    <col min="12253" max="12253" width="1.85546875" style="75" customWidth="1"/>
    <col min="12254" max="12256" width="3" style="75" customWidth="1"/>
    <col min="12257" max="12257" width="4.42578125" style="75" customWidth="1"/>
    <col min="12258" max="12259" width="3" style="75" customWidth="1"/>
    <col min="12260" max="12265" width="3.42578125" style="75" customWidth="1"/>
    <col min="12266" max="12267" width="9.140625" style="75" customWidth="1"/>
    <col min="12268" max="12271" width="3.42578125" style="75" customWidth="1"/>
    <col min="12272" max="12272" width="4.140625" style="75" customWidth="1"/>
    <col min="12273" max="12273" width="1.5703125" style="75" customWidth="1"/>
    <col min="12274" max="12278" width="3.42578125" style="75" customWidth="1"/>
    <col min="12279" max="12279" width="1.5703125" style="75" customWidth="1"/>
    <col min="12280" max="12284" width="3.42578125" style="75" customWidth="1"/>
    <col min="12285" max="12290" width="9.140625" style="75" customWidth="1"/>
    <col min="12291" max="12291" width="1.5703125" style="75" customWidth="1"/>
    <col min="12292" max="12296" width="3.42578125" style="75" customWidth="1"/>
    <col min="12297" max="12297" width="1.5703125" style="75" customWidth="1"/>
    <col min="12298" max="12298" width="16.5703125" style="75" bestFit="1" customWidth="1"/>
    <col min="12299" max="12300" width="10.42578125" style="75" customWidth="1"/>
    <col min="12301" max="12301" width="18" style="75" bestFit="1" customWidth="1"/>
    <col min="12302" max="12486" width="9.140625" style="75"/>
    <col min="12487" max="12494" width="9.140625" style="75" customWidth="1"/>
    <col min="12495" max="12495" width="10.140625" style="75" customWidth="1"/>
    <col min="12496" max="12496" width="1" style="75" customWidth="1"/>
    <col min="12497" max="12499" width="3.42578125" style="75" customWidth="1"/>
    <col min="12500" max="12500" width="1.85546875" style="75" customWidth="1"/>
    <col min="12501" max="12501" width="17.85546875" style="75" customWidth="1"/>
    <col min="12502" max="12502" width="1.85546875" style="75" customWidth="1"/>
    <col min="12503" max="12505" width="3.42578125" style="75" customWidth="1"/>
    <col min="12506" max="12506" width="2.85546875" style="75" customWidth="1"/>
    <col min="12507" max="12507" width="1.85546875" style="75" customWidth="1"/>
    <col min="12508" max="12508" width="19.5703125" style="75" customWidth="1"/>
    <col min="12509" max="12509" width="1.85546875" style="75" customWidth="1"/>
    <col min="12510" max="12512" width="3" style="75" customWidth="1"/>
    <col min="12513" max="12513" width="4.42578125" style="75" customWidth="1"/>
    <col min="12514" max="12515" width="3" style="75" customWidth="1"/>
    <col min="12516" max="12521" width="3.42578125" style="75" customWidth="1"/>
    <col min="12522" max="12523" width="9.140625" style="75" customWidth="1"/>
    <col min="12524" max="12527" width="3.42578125" style="75" customWidth="1"/>
    <col min="12528" max="12528" width="4.140625" style="75" customWidth="1"/>
    <col min="12529" max="12529" width="1.5703125" style="75" customWidth="1"/>
    <col min="12530" max="12534" width="3.42578125" style="75" customWidth="1"/>
    <col min="12535" max="12535" width="1.5703125" style="75" customWidth="1"/>
    <col min="12536" max="12540" width="3.42578125" style="75" customWidth="1"/>
    <col min="12541" max="12546" width="9.140625" style="75" customWidth="1"/>
    <col min="12547" max="12547" width="1.5703125" style="75" customWidth="1"/>
    <col min="12548" max="12552" width="3.42578125" style="75" customWidth="1"/>
    <col min="12553" max="12553" width="1.5703125" style="75" customWidth="1"/>
    <col min="12554" max="12554" width="16.5703125" style="75" bestFit="1" customWidth="1"/>
    <col min="12555" max="12556" width="10.42578125" style="75" customWidth="1"/>
    <col min="12557" max="12557" width="18" style="75" bestFit="1" customWidth="1"/>
    <col min="12558" max="12742" width="9.140625" style="75"/>
    <col min="12743" max="12750" width="9.140625" style="75" customWidth="1"/>
    <col min="12751" max="12751" width="10.140625" style="75" customWidth="1"/>
    <col min="12752" max="12752" width="1" style="75" customWidth="1"/>
    <col min="12753" max="12755" width="3.42578125" style="75" customWidth="1"/>
    <col min="12756" max="12756" width="1.85546875" style="75" customWidth="1"/>
    <col min="12757" max="12757" width="17.85546875" style="75" customWidth="1"/>
    <col min="12758" max="12758" width="1.85546875" style="75" customWidth="1"/>
    <col min="12759" max="12761" width="3.42578125" style="75" customWidth="1"/>
    <col min="12762" max="12762" width="2.85546875" style="75" customWidth="1"/>
    <col min="12763" max="12763" width="1.85546875" style="75" customWidth="1"/>
    <col min="12764" max="12764" width="19.5703125" style="75" customWidth="1"/>
    <col min="12765" max="12765" width="1.85546875" style="75" customWidth="1"/>
    <col min="12766" max="12768" width="3" style="75" customWidth="1"/>
    <col min="12769" max="12769" width="4.42578125" style="75" customWidth="1"/>
    <col min="12770" max="12771" width="3" style="75" customWidth="1"/>
    <col min="12772" max="12777" width="3.42578125" style="75" customWidth="1"/>
    <col min="12778" max="12779" width="9.140625" style="75" customWidth="1"/>
    <col min="12780" max="12783" width="3.42578125" style="75" customWidth="1"/>
    <col min="12784" max="12784" width="4.140625" style="75" customWidth="1"/>
    <col min="12785" max="12785" width="1.5703125" style="75" customWidth="1"/>
    <col min="12786" max="12790" width="3.42578125" style="75" customWidth="1"/>
    <col min="12791" max="12791" width="1.5703125" style="75" customWidth="1"/>
    <col min="12792" max="12796" width="3.42578125" style="75" customWidth="1"/>
    <col min="12797" max="12802" width="9.140625" style="75" customWidth="1"/>
    <col min="12803" max="12803" width="1.5703125" style="75" customWidth="1"/>
    <col min="12804" max="12808" width="3.42578125" style="75" customWidth="1"/>
    <col min="12809" max="12809" width="1.5703125" style="75" customWidth="1"/>
    <col min="12810" max="12810" width="16.5703125" style="75" bestFit="1" customWidth="1"/>
    <col min="12811" max="12812" width="10.42578125" style="75" customWidth="1"/>
    <col min="12813" max="12813" width="18" style="75" bestFit="1" customWidth="1"/>
    <col min="12814" max="12998" width="9.140625" style="75"/>
    <col min="12999" max="13006" width="9.140625" style="75" customWidth="1"/>
    <col min="13007" max="13007" width="10.140625" style="75" customWidth="1"/>
    <col min="13008" max="13008" width="1" style="75" customWidth="1"/>
    <col min="13009" max="13011" width="3.42578125" style="75" customWidth="1"/>
    <col min="13012" max="13012" width="1.85546875" style="75" customWidth="1"/>
    <col min="13013" max="13013" width="17.85546875" style="75" customWidth="1"/>
    <col min="13014" max="13014" width="1.85546875" style="75" customWidth="1"/>
    <col min="13015" max="13017" width="3.42578125" style="75" customWidth="1"/>
    <col min="13018" max="13018" width="2.85546875" style="75" customWidth="1"/>
    <col min="13019" max="13019" width="1.85546875" style="75" customWidth="1"/>
    <col min="13020" max="13020" width="19.5703125" style="75" customWidth="1"/>
    <col min="13021" max="13021" width="1.85546875" style="75" customWidth="1"/>
    <col min="13022" max="13024" width="3" style="75" customWidth="1"/>
    <col min="13025" max="13025" width="4.42578125" style="75" customWidth="1"/>
    <col min="13026" max="13027" width="3" style="75" customWidth="1"/>
    <col min="13028" max="13033" width="3.42578125" style="75" customWidth="1"/>
    <col min="13034" max="13035" width="9.140625" style="75" customWidth="1"/>
    <col min="13036" max="13039" width="3.42578125" style="75" customWidth="1"/>
    <col min="13040" max="13040" width="4.140625" style="75" customWidth="1"/>
    <col min="13041" max="13041" width="1.5703125" style="75" customWidth="1"/>
    <col min="13042" max="13046" width="3.42578125" style="75" customWidth="1"/>
    <col min="13047" max="13047" width="1.5703125" style="75" customWidth="1"/>
    <col min="13048" max="13052" width="3.42578125" style="75" customWidth="1"/>
    <col min="13053" max="13058" width="9.140625" style="75" customWidth="1"/>
    <col min="13059" max="13059" width="1.5703125" style="75" customWidth="1"/>
    <col min="13060" max="13064" width="3.42578125" style="75" customWidth="1"/>
    <col min="13065" max="13065" width="1.5703125" style="75" customWidth="1"/>
    <col min="13066" max="13066" width="16.5703125" style="75" bestFit="1" customWidth="1"/>
    <col min="13067" max="13068" width="10.42578125" style="75" customWidth="1"/>
    <col min="13069" max="13069" width="18" style="75" bestFit="1" customWidth="1"/>
    <col min="13070" max="13254" width="9.140625" style="75"/>
    <col min="13255" max="13262" width="9.140625" style="75" customWidth="1"/>
    <col min="13263" max="13263" width="10.140625" style="75" customWidth="1"/>
    <col min="13264" max="13264" width="1" style="75" customWidth="1"/>
    <col min="13265" max="13267" width="3.42578125" style="75" customWidth="1"/>
    <col min="13268" max="13268" width="1.85546875" style="75" customWidth="1"/>
    <col min="13269" max="13269" width="17.85546875" style="75" customWidth="1"/>
    <col min="13270" max="13270" width="1.85546875" style="75" customWidth="1"/>
    <col min="13271" max="13273" width="3.42578125" style="75" customWidth="1"/>
    <col min="13274" max="13274" width="2.85546875" style="75" customWidth="1"/>
    <col min="13275" max="13275" width="1.85546875" style="75" customWidth="1"/>
    <col min="13276" max="13276" width="19.5703125" style="75" customWidth="1"/>
    <col min="13277" max="13277" width="1.85546875" style="75" customWidth="1"/>
    <col min="13278" max="13280" width="3" style="75" customWidth="1"/>
    <col min="13281" max="13281" width="4.42578125" style="75" customWidth="1"/>
    <col min="13282" max="13283" width="3" style="75" customWidth="1"/>
    <col min="13284" max="13289" width="3.42578125" style="75" customWidth="1"/>
    <col min="13290" max="13291" width="9.140625" style="75" customWidth="1"/>
    <col min="13292" max="13295" width="3.42578125" style="75" customWidth="1"/>
    <col min="13296" max="13296" width="4.140625" style="75" customWidth="1"/>
    <col min="13297" max="13297" width="1.5703125" style="75" customWidth="1"/>
    <col min="13298" max="13302" width="3.42578125" style="75" customWidth="1"/>
    <col min="13303" max="13303" width="1.5703125" style="75" customWidth="1"/>
    <col min="13304" max="13308" width="3.42578125" style="75" customWidth="1"/>
    <col min="13309" max="13314" width="9.140625" style="75" customWidth="1"/>
    <col min="13315" max="13315" width="1.5703125" style="75" customWidth="1"/>
    <col min="13316" max="13320" width="3.42578125" style="75" customWidth="1"/>
    <col min="13321" max="13321" width="1.5703125" style="75" customWidth="1"/>
    <col min="13322" max="13322" width="16.5703125" style="75" bestFit="1" customWidth="1"/>
    <col min="13323" max="13324" width="10.42578125" style="75" customWidth="1"/>
    <col min="13325" max="13325" width="18" style="75" bestFit="1" customWidth="1"/>
    <col min="13326" max="13510" width="9.140625" style="75"/>
    <col min="13511" max="13518" width="9.140625" style="75" customWidth="1"/>
    <col min="13519" max="13519" width="10.140625" style="75" customWidth="1"/>
    <col min="13520" max="13520" width="1" style="75" customWidth="1"/>
    <col min="13521" max="13523" width="3.42578125" style="75" customWidth="1"/>
    <col min="13524" max="13524" width="1.85546875" style="75" customWidth="1"/>
    <col min="13525" max="13525" width="17.85546875" style="75" customWidth="1"/>
    <col min="13526" max="13526" width="1.85546875" style="75" customWidth="1"/>
    <col min="13527" max="13529" width="3.42578125" style="75" customWidth="1"/>
    <col min="13530" max="13530" width="2.85546875" style="75" customWidth="1"/>
    <col min="13531" max="13531" width="1.85546875" style="75" customWidth="1"/>
    <col min="13532" max="13532" width="19.5703125" style="75" customWidth="1"/>
    <col min="13533" max="13533" width="1.85546875" style="75" customWidth="1"/>
    <col min="13534" max="13536" width="3" style="75" customWidth="1"/>
    <col min="13537" max="13537" width="4.42578125" style="75" customWidth="1"/>
    <col min="13538" max="13539" width="3" style="75" customWidth="1"/>
    <col min="13540" max="13545" width="3.42578125" style="75" customWidth="1"/>
    <col min="13546" max="13547" width="9.140625" style="75" customWidth="1"/>
    <col min="13548" max="13551" width="3.42578125" style="75" customWidth="1"/>
    <col min="13552" max="13552" width="4.140625" style="75" customWidth="1"/>
    <col min="13553" max="13553" width="1.5703125" style="75" customWidth="1"/>
    <col min="13554" max="13558" width="3.42578125" style="75" customWidth="1"/>
    <col min="13559" max="13559" width="1.5703125" style="75" customWidth="1"/>
    <col min="13560" max="13564" width="3.42578125" style="75" customWidth="1"/>
    <col min="13565" max="13570" width="9.140625" style="75" customWidth="1"/>
    <col min="13571" max="13571" width="1.5703125" style="75" customWidth="1"/>
    <col min="13572" max="13576" width="3.42578125" style="75" customWidth="1"/>
    <col min="13577" max="13577" width="1.5703125" style="75" customWidth="1"/>
    <col min="13578" max="13578" width="16.5703125" style="75" bestFit="1" customWidth="1"/>
    <col min="13579" max="13580" width="10.42578125" style="75" customWidth="1"/>
    <col min="13581" max="13581" width="18" style="75" bestFit="1" customWidth="1"/>
    <col min="13582" max="13766" width="9.140625" style="75"/>
    <col min="13767" max="13774" width="9.140625" style="75" customWidth="1"/>
    <col min="13775" max="13775" width="10.140625" style="75" customWidth="1"/>
    <col min="13776" max="13776" width="1" style="75" customWidth="1"/>
    <col min="13777" max="13779" width="3.42578125" style="75" customWidth="1"/>
    <col min="13780" max="13780" width="1.85546875" style="75" customWidth="1"/>
    <col min="13781" max="13781" width="17.85546875" style="75" customWidth="1"/>
    <col min="13782" max="13782" width="1.85546875" style="75" customWidth="1"/>
    <col min="13783" max="13785" width="3.42578125" style="75" customWidth="1"/>
    <col min="13786" max="13786" width="2.85546875" style="75" customWidth="1"/>
    <col min="13787" max="13787" width="1.85546875" style="75" customWidth="1"/>
    <col min="13788" max="13788" width="19.5703125" style="75" customWidth="1"/>
    <col min="13789" max="13789" width="1.85546875" style="75" customWidth="1"/>
    <col min="13790" max="13792" width="3" style="75" customWidth="1"/>
    <col min="13793" max="13793" width="4.42578125" style="75" customWidth="1"/>
    <col min="13794" max="13795" width="3" style="75" customWidth="1"/>
    <col min="13796" max="13801" width="3.42578125" style="75" customWidth="1"/>
    <col min="13802" max="13803" width="9.140625" style="75" customWidth="1"/>
    <col min="13804" max="13807" width="3.42578125" style="75" customWidth="1"/>
    <col min="13808" max="13808" width="4.140625" style="75" customWidth="1"/>
    <col min="13809" max="13809" width="1.5703125" style="75" customWidth="1"/>
    <col min="13810" max="13814" width="3.42578125" style="75" customWidth="1"/>
    <col min="13815" max="13815" width="1.5703125" style="75" customWidth="1"/>
    <col min="13816" max="13820" width="3.42578125" style="75" customWidth="1"/>
    <col min="13821" max="13826" width="9.140625" style="75" customWidth="1"/>
    <col min="13827" max="13827" width="1.5703125" style="75" customWidth="1"/>
    <col min="13828" max="13832" width="3.42578125" style="75" customWidth="1"/>
    <col min="13833" max="13833" width="1.5703125" style="75" customWidth="1"/>
    <col min="13834" max="13834" width="16.5703125" style="75" bestFit="1" customWidth="1"/>
    <col min="13835" max="13836" width="10.42578125" style="75" customWidth="1"/>
    <col min="13837" max="13837" width="18" style="75" bestFit="1" customWidth="1"/>
    <col min="13838" max="14022" width="9.140625" style="75"/>
    <col min="14023" max="14030" width="9.140625" style="75" customWidth="1"/>
    <col min="14031" max="14031" width="10.140625" style="75" customWidth="1"/>
    <col min="14032" max="14032" width="1" style="75" customWidth="1"/>
    <col min="14033" max="14035" width="3.42578125" style="75" customWidth="1"/>
    <col min="14036" max="14036" width="1.85546875" style="75" customWidth="1"/>
    <col min="14037" max="14037" width="17.85546875" style="75" customWidth="1"/>
    <col min="14038" max="14038" width="1.85546875" style="75" customWidth="1"/>
    <col min="14039" max="14041" width="3.42578125" style="75" customWidth="1"/>
    <col min="14042" max="14042" width="2.85546875" style="75" customWidth="1"/>
    <col min="14043" max="14043" width="1.85546875" style="75" customWidth="1"/>
    <col min="14044" max="14044" width="19.5703125" style="75" customWidth="1"/>
    <col min="14045" max="14045" width="1.85546875" style="75" customWidth="1"/>
    <col min="14046" max="14048" width="3" style="75" customWidth="1"/>
    <col min="14049" max="14049" width="4.42578125" style="75" customWidth="1"/>
    <col min="14050" max="14051" width="3" style="75" customWidth="1"/>
    <col min="14052" max="14057" width="3.42578125" style="75" customWidth="1"/>
    <col min="14058" max="14059" width="9.140625" style="75" customWidth="1"/>
    <col min="14060" max="14063" width="3.42578125" style="75" customWidth="1"/>
    <col min="14064" max="14064" width="4.140625" style="75" customWidth="1"/>
    <col min="14065" max="14065" width="1.5703125" style="75" customWidth="1"/>
    <col min="14066" max="14070" width="3.42578125" style="75" customWidth="1"/>
    <col min="14071" max="14071" width="1.5703125" style="75" customWidth="1"/>
    <col min="14072" max="14076" width="3.42578125" style="75" customWidth="1"/>
    <col min="14077" max="14082" width="9.140625" style="75" customWidth="1"/>
    <col min="14083" max="14083" width="1.5703125" style="75" customWidth="1"/>
    <col min="14084" max="14088" width="3.42578125" style="75" customWidth="1"/>
    <col min="14089" max="14089" width="1.5703125" style="75" customWidth="1"/>
    <col min="14090" max="14090" width="16.5703125" style="75" bestFit="1" customWidth="1"/>
    <col min="14091" max="14092" width="10.42578125" style="75" customWidth="1"/>
    <col min="14093" max="14093" width="18" style="75" bestFit="1" customWidth="1"/>
    <col min="14094" max="14278" width="9.140625" style="75"/>
    <col min="14279" max="14286" width="9.140625" style="75" customWidth="1"/>
    <col min="14287" max="14287" width="10.140625" style="75" customWidth="1"/>
    <col min="14288" max="14288" width="1" style="75" customWidth="1"/>
    <col min="14289" max="14291" width="3.42578125" style="75" customWidth="1"/>
    <col min="14292" max="14292" width="1.85546875" style="75" customWidth="1"/>
    <col min="14293" max="14293" width="17.85546875" style="75" customWidth="1"/>
    <col min="14294" max="14294" width="1.85546875" style="75" customWidth="1"/>
    <col min="14295" max="14297" width="3.42578125" style="75" customWidth="1"/>
    <col min="14298" max="14298" width="2.85546875" style="75" customWidth="1"/>
    <col min="14299" max="14299" width="1.85546875" style="75" customWidth="1"/>
    <col min="14300" max="14300" width="19.5703125" style="75" customWidth="1"/>
    <col min="14301" max="14301" width="1.85546875" style="75" customWidth="1"/>
    <col min="14302" max="14304" width="3" style="75" customWidth="1"/>
    <col min="14305" max="14305" width="4.42578125" style="75" customWidth="1"/>
    <col min="14306" max="14307" width="3" style="75" customWidth="1"/>
    <col min="14308" max="14313" width="3.42578125" style="75" customWidth="1"/>
    <col min="14314" max="14315" width="9.140625" style="75" customWidth="1"/>
    <col min="14316" max="14319" width="3.42578125" style="75" customWidth="1"/>
    <col min="14320" max="14320" width="4.140625" style="75" customWidth="1"/>
    <col min="14321" max="14321" width="1.5703125" style="75" customWidth="1"/>
    <col min="14322" max="14326" width="3.42578125" style="75" customWidth="1"/>
    <col min="14327" max="14327" width="1.5703125" style="75" customWidth="1"/>
    <col min="14328" max="14332" width="3.42578125" style="75" customWidth="1"/>
    <col min="14333" max="14338" width="9.140625" style="75" customWidth="1"/>
    <col min="14339" max="14339" width="1.5703125" style="75" customWidth="1"/>
    <col min="14340" max="14344" width="3.42578125" style="75" customWidth="1"/>
    <col min="14345" max="14345" width="1.5703125" style="75" customWidth="1"/>
    <col min="14346" max="14346" width="16.5703125" style="75" bestFit="1" customWidth="1"/>
    <col min="14347" max="14348" width="10.42578125" style="75" customWidth="1"/>
    <col min="14349" max="14349" width="18" style="75" bestFit="1" customWidth="1"/>
    <col min="14350" max="14534" width="9.140625" style="75"/>
    <col min="14535" max="14542" width="9.140625" style="75" customWidth="1"/>
    <col min="14543" max="14543" width="10.140625" style="75" customWidth="1"/>
    <col min="14544" max="14544" width="1" style="75" customWidth="1"/>
    <col min="14545" max="14547" width="3.42578125" style="75" customWidth="1"/>
    <col min="14548" max="14548" width="1.85546875" style="75" customWidth="1"/>
    <col min="14549" max="14549" width="17.85546875" style="75" customWidth="1"/>
    <col min="14550" max="14550" width="1.85546875" style="75" customWidth="1"/>
    <col min="14551" max="14553" width="3.42578125" style="75" customWidth="1"/>
    <col min="14554" max="14554" width="2.85546875" style="75" customWidth="1"/>
    <col min="14555" max="14555" width="1.85546875" style="75" customWidth="1"/>
    <col min="14556" max="14556" width="19.5703125" style="75" customWidth="1"/>
    <col min="14557" max="14557" width="1.85546875" style="75" customWidth="1"/>
    <col min="14558" max="14560" width="3" style="75" customWidth="1"/>
    <col min="14561" max="14561" width="4.42578125" style="75" customWidth="1"/>
    <col min="14562" max="14563" width="3" style="75" customWidth="1"/>
    <col min="14564" max="14569" width="3.42578125" style="75" customWidth="1"/>
    <col min="14570" max="14571" width="9.140625" style="75" customWidth="1"/>
    <col min="14572" max="14575" width="3.42578125" style="75" customWidth="1"/>
    <col min="14576" max="14576" width="4.140625" style="75" customWidth="1"/>
    <col min="14577" max="14577" width="1.5703125" style="75" customWidth="1"/>
    <col min="14578" max="14582" width="3.42578125" style="75" customWidth="1"/>
    <col min="14583" max="14583" width="1.5703125" style="75" customWidth="1"/>
    <col min="14584" max="14588" width="3.42578125" style="75" customWidth="1"/>
    <col min="14589" max="14594" width="9.140625" style="75" customWidth="1"/>
    <col min="14595" max="14595" width="1.5703125" style="75" customWidth="1"/>
    <col min="14596" max="14600" width="3.42578125" style="75" customWidth="1"/>
    <col min="14601" max="14601" width="1.5703125" style="75" customWidth="1"/>
    <col min="14602" max="14602" width="16.5703125" style="75" bestFit="1" customWidth="1"/>
    <col min="14603" max="14604" width="10.42578125" style="75" customWidth="1"/>
    <col min="14605" max="14605" width="18" style="75" bestFit="1" customWidth="1"/>
    <col min="14606" max="14790" width="9.140625" style="75"/>
    <col min="14791" max="14798" width="9.140625" style="75" customWidth="1"/>
    <col min="14799" max="14799" width="10.140625" style="75" customWidth="1"/>
    <col min="14800" max="14800" width="1" style="75" customWidth="1"/>
    <col min="14801" max="14803" width="3.42578125" style="75" customWidth="1"/>
    <col min="14804" max="14804" width="1.85546875" style="75" customWidth="1"/>
    <col min="14805" max="14805" width="17.85546875" style="75" customWidth="1"/>
    <col min="14806" max="14806" width="1.85546875" style="75" customWidth="1"/>
    <col min="14807" max="14809" width="3.42578125" style="75" customWidth="1"/>
    <col min="14810" max="14810" width="2.85546875" style="75" customWidth="1"/>
    <col min="14811" max="14811" width="1.85546875" style="75" customWidth="1"/>
    <col min="14812" max="14812" width="19.5703125" style="75" customWidth="1"/>
    <col min="14813" max="14813" width="1.85546875" style="75" customWidth="1"/>
    <col min="14814" max="14816" width="3" style="75" customWidth="1"/>
    <col min="14817" max="14817" width="4.42578125" style="75" customWidth="1"/>
    <col min="14818" max="14819" width="3" style="75" customWidth="1"/>
    <col min="14820" max="14825" width="3.42578125" style="75" customWidth="1"/>
    <col min="14826" max="14827" width="9.140625" style="75" customWidth="1"/>
    <col min="14828" max="14831" width="3.42578125" style="75" customWidth="1"/>
    <col min="14832" max="14832" width="4.140625" style="75" customWidth="1"/>
    <col min="14833" max="14833" width="1.5703125" style="75" customWidth="1"/>
    <col min="14834" max="14838" width="3.42578125" style="75" customWidth="1"/>
    <col min="14839" max="14839" width="1.5703125" style="75" customWidth="1"/>
    <col min="14840" max="14844" width="3.42578125" style="75" customWidth="1"/>
    <col min="14845" max="14850" width="9.140625" style="75" customWidth="1"/>
    <col min="14851" max="14851" width="1.5703125" style="75" customWidth="1"/>
    <col min="14852" max="14856" width="3.42578125" style="75" customWidth="1"/>
    <col min="14857" max="14857" width="1.5703125" style="75" customWidth="1"/>
    <col min="14858" max="14858" width="16.5703125" style="75" bestFit="1" customWidth="1"/>
    <col min="14859" max="14860" width="10.42578125" style="75" customWidth="1"/>
    <col min="14861" max="14861" width="18" style="75" bestFit="1" customWidth="1"/>
    <col min="14862" max="15046" width="9.140625" style="75"/>
    <col min="15047" max="15054" width="9.140625" style="75" customWidth="1"/>
    <col min="15055" max="15055" width="10.140625" style="75" customWidth="1"/>
    <col min="15056" max="15056" width="1" style="75" customWidth="1"/>
    <col min="15057" max="15059" width="3.42578125" style="75" customWidth="1"/>
    <col min="15060" max="15060" width="1.85546875" style="75" customWidth="1"/>
    <col min="15061" max="15061" width="17.85546875" style="75" customWidth="1"/>
    <col min="15062" max="15062" width="1.85546875" style="75" customWidth="1"/>
    <col min="15063" max="15065" width="3.42578125" style="75" customWidth="1"/>
    <col min="15066" max="15066" width="2.85546875" style="75" customWidth="1"/>
    <col min="15067" max="15067" width="1.85546875" style="75" customWidth="1"/>
    <col min="15068" max="15068" width="19.5703125" style="75" customWidth="1"/>
    <col min="15069" max="15069" width="1.85546875" style="75" customWidth="1"/>
    <col min="15070" max="15072" width="3" style="75" customWidth="1"/>
    <col min="15073" max="15073" width="4.42578125" style="75" customWidth="1"/>
    <col min="15074" max="15075" width="3" style="75" customWidth="1"/>
    <col min="15076" max="15081" width="3.42578125" style="75" customWidth="1"/>
    <col min="15082" max="15083" width="9.140625" style="75" customWidth="1"/>
    <col min="15084" max="15087" width="3.42578125" style="75" customWidth="1"/>
    <col min="15088" max="15088" width="4.140625" style="75" customWidth="1"/>
    <col min="15089" max="15089" width="1.5703125" style="75" customWidth="1"/>
    <col min="15090" max="15094" width="3.42578125" style="75" customWidth="1"/>
    <col min="15095" max="15095" width="1.5703125" style="75" customWidth="1"/>
    <col min="15096" max="15100" width="3.42578125" style="75" customWidth="1"/>
    <col min="15101" max="15106" width="9.140625" style="75" customWidth="1"/>
    <col min="15107" max="15107" width="1.5703125" style="75" customWidth="1"/>
    <col min="15108" max="15112" width="3.42578125" style="75" customWidth="1"/>
    <col min="15113" max="15113" width="1.5703125" style="75" customWidth="1"/>
    <col min="15114" max="15114" width="16.5703125" style="75" bestFit="1" customWidth="1"/>
    <col min="15115" max="15116" width="10.42578125" style="75" customWidth="1"/>
    <col min="15117" max="15117" width="18" style="75" bestFit="1" customWidth="1"/>
    <col min="15118" max="15302" width="9.140625" style="75"/>
    <col min="15303" max="15310" width="9.140625" style="75" customWidth="1"/>
    <col min="15311" max="15311" width="10.140625" style="75" customWidth="1"/>
    <col min="15312" max="15312" width="1" style="75" customWidth="1"/>
    <col min="15313" max="15315" width="3.42578125" style="75" customWidth="1"/>
    <col min="15316" max="15316" width="1.85546875" style="75" customWidth="1"/>
    <col min="15317" max="15317" width="17.85546875" style="75" customWidth="1"/>
    <col min="15318" max="15318" width="1.85546875" style="75" customWidth="1"/>
    <col min="15319" max="15321" width="3.42578125" style="75" customWidth="1"/>
    <col min="15322" max="15322" width="2.85546875" style="75" customWidth="1"/>
    <col min="15323" max="15323" width="1.85546875" style="75" customWidth="1"/>
    <col min="15324" max="15324" width="19.5703125" style="75" customWidth="1"/>
    <col min="15325" max="15325" width="1.85546875" style="75" customWidth="1"/>
    <col min="15326" max="15328" width="3" style="75" customWidth="1"/>
    <col min="15329" max="15329" width="4.42578125" style="75" customWidth="1"/>
    <col min="15330" max="15331" width="3" style="75" customWidth="1"/>
    <col min="15332" max="15337" width="3.42578125" style="75" customWidth="1"/>
    <col min="15338" max="15339" width="9.140625" style="75" customWidth="1"/>
    <col min="15340" max="15343" width="3.42578125" style="75" customWidth="1"/>
    <col min="15344" max="15344" width="4.140625" style="75" customWidth="1"/>
    <col min="15345" max="15345" width="1.5703125" style="75" customWidth="1"/>
    <col min="15346" max="15350" width="3.42578125" style="75" customWidth="1"/>
    <col min="15351" max="15351" width="1.5703125" style="75" customWidth="1"/>
    <col min="15352" max="15356" width="3.42578125" style="75" customWidth="1"/>
    <col min="15357" max="15362" width="9.140625" style="75" customWidth="1"/>
    <col min="15363" max="15363" width="1.5703125" style="75" customWidth="1"/>
    <col min="15364" max="15368" width="3.42578125" style="75" customWidth="1"/>
    <col min="15369" max="15369" width="1.5703125" style="75" customWidth="1"/>
    <col min="15370" max="15370" width="16.5703125" style="75" bestFit="1" customWidth="1"/>
    <col min="15371" max="15372" width="10.42578125" style="75" customWidth="1"/>
    <col min="15373" max="15373" width="18" style="75" bestFit="1" customWidth="1"/>
    <col min="15374" max="15558" width="9.140625" style="75"/>
    <col min="15559" max="15566" width="9.140625" style="75" customWidth="1"/>
    <col min="15567" max="15567" width="10.140625" style="75" customWidth="1"/>
    <col min="15568" max="15568" width="1" style="75" customWidth="1"/>
    <col min="15569" max="15571" width="3.42578125" style="75" customWidth="1"/>
    <col min="15572" max="15572" width="1.85546875" style="75" customWidth="1"/>
    <col min="15573" max="15573" width="17.85546875" style="75" customWidth="1"/>
    <col min="15574" max="15574" width="1.85546875" style="75" customWidth="1"/>
    <col min="15575" max="15577" width="3.42578125" style="75" customWidth="1"/>
    <col min="15578" max="15578" width="2.85546875" style="75" customWidth="1"/>
    <col min="15579" max="15579" width="1.85546875" style="75" customWidth="1"/>
    <col min="15580" max="15580" width="19.5703125" style="75" customWidth="1"/>
    <col min="15581" max="15581" width="1.85546875" style="75" customWidth="1"/>
    <col min="15582" max="15584" width="3" style="75" customWidth="1"/>
    <col min="15585" max="15585" width="4.42578125" style="75" customWidth="1"/>
    <col min="15586" max="15587" width="3" style="75" customWidth="1"/>
    <col min="15588" max="15593" width="3.42578125" style="75" customWidth="1"/>
    <col min="15594" max="15595" width="9.140625" style="75" customWidth="1"/>
    <col min="15596" max="15599" width="3.42578125" style="75" customWidth="1"/>
    <col min="15600" max="15600" width="4.140625" style="75" customWidth="1"/>
    <col min="15601" max="15601" width="1.5703125" style="75" customWidth="1"/>
    <col min="15602" max="15606" width="3.42578125" style="75" customWidth="1"/>
    <col min="15607" max="15607" width="1.5703125" style="75" customWidth="1"/>
    <col min="15608" max="15612" width="3.42578125" style="75" customWidth="1"/>
    <col min="15613" max="15618" width="9.140625" style="75" customWidth="1"/>
    <col min="15619" max="15619" width="1.5703125" style="75" customWidth="1"/>
    <col min="15620" max="15624" width="3.42578125" style="75" customWidth="1"/>
    <col min="15625" max="15625" width="1.5703125" style="75" customWidth="1"/>
    <col min="15626" max="15626" width="16.5703125" style="75" bestFit="1" customWidth="1"/>
    <col min="15627" max="15628" width="10.42578125" style="75" customWidth="1"/>
    <col min="15629" max="15629" width="18" style="75" bestFit="1" customWidth="1"/>
    <col min="15630" max="15814" width="9.140625" style="75"/>
    <col min="15815" max="15822" width="9.140625" style="75" customWidth="1"/>
    <col min="15823" max="15823" width="10.140625" style="75" customWidth="1"/>
    <col min="15824" max="15824" width="1" style="75" customWidth="1"/>
    <col min="15825" max="15827" width="3.42578125" style="75" customWidth="1"/>
    <col min="15828" max="15828" width="1.85546875" style="75" customWidth="1"/>
    <col min="15829" max="15829" width="17.85546875" style="75" customWidth="1"/>
    <col min="15830" max="15830" width="1.85546875" style="75" customWidth="1"/>
    <col min="15831" max="15833" width="3.42578125" style="75" customWidth="1"/>
    <col min="15834" max="15834" width="2.85546875" style="75" customWidth="1"/>
    <col min="15835" max="15835" width="1.85546875" style="75" customWidth="1"/>
    <col min="15836" max="15836" width="19.5703125" style="75" customWidth="1"/>
    <col min="15837" max="15837" width="1.85546875" style="75" customWidth="1"/>
    <col min="15838" max="15840" width="3" style="75" customWidth="1"/>
    <col min="15841" max="15841" width="4.42578125" style="75" customWidth="1"/>
    <col min="15842" max="15843" width="3" style="75" customWidth="1"/>
    <col min="15844" max="15849" width="3.42578125" style="75" customWidth="1"/>
    <col min="15850" max="15851" width="9.140625" style="75" customWidth="1"/>
    <col min="15852" max="15855" width="3.42578125" style="75" customWidth="1"/>
    <col min="15856" max="15856" width="4.140625" style="75" customWidth="1"/>
    <col min="15857" max="15857" width="1.5703125" style="75" customWidth="1"/>
    <col min="15858" max="15862" width="3.42578125" style="75" customWidth="1"/>
    <col min="15863" max="15863" width="1.5703125" style="75" customWidth="1"/>
    <col min="15864" max="15868" width="3.42578125" style="75" customWidth="1"/>
    <col min="15869" max="15874" width="9.140625" style="75" customWidth="1"/>
    <col min="15875" max="15875" width="1.5703125" style="75" customWidth="1"/>
    <col min="15876" max="15880" width="3.42578125" style="75" customWidth="1"/>
    <col min="15881" max="15881" width="1.5703125" style="75" customWidth="1"/>
    <col min="15882" max="15882" width="16.5703125" style="75" bestFit="1" customWidth="1"/>
    <col min="15883" max="15884" width="10.42578125" style="75" customWidth="1"/>
    <col min="15885" max="15885" width="18" style="75" bestFit="1" customWidth="1"/>
    <col min="15886" max="16070" width="9.140625" style="75"/>
    <col min="16071" max="16078" width="9.140625" style="75" customWidth="1"/>
    <col min="16079" max="16079" width="10.140625" style="75" customWidth="1"/>
    <col min="16080" max="16080" width="1" style="75" customWidth="1"/>
    <col min="16081" max="16083" width="3.42578125" style="75" customWidth="1"/>
    <col min="16084" max="16084" width="1.85546875" style="75" customWidth="1"/>
    <col min="16085" max="16085" width="17.85546875" style="75" customWidth="1"/>
    <col min="16086" max="16086" width="1.85546875" style="75" customWidth="1"/>
    <col min="16087" max="16089" width="3.42578125" style="75" customWidth="1"/>
    <col min="16090" max="16090" width="2.85546875" style="75" customWidth="1"/>
    <col min="16091" max="16091" width="1.85546875" style="75" customWidth="1"/>
    <col min="16092" max="16092" width="19.5703125" style="75" customWidth="1"/>
    <col min="16093" max="16093" width="1.85546875" style="75" customWidth="1"/>
    <col min="16094" max="16096" width="3" style="75" customWidth="1"/>
    <col min="16097" max="16097" width="4.42578125" style="75" customWidth="1"/>
    <col min="16098" max="16099" width="3" style="75" customWidth="1"/>
    <col min="16100" max="16105" width="3.42578125" style="75" customWidth="1"/>
    <col min="16106" max="16107" width="9.140625" style="75" customWidth="1"/>
    <col min="16108" max="16111" width="3.42578125" style="75" customWidth="1"/>
    <col min="16112" max="16112" width="4.140625" style="75" customWidth="1"/>
    <col min="16113" max="16113" width="1.5703125" style="75" customWidth="1"/>
    <col min="16114" max="16118" width="3.42578125" style="75" customWidth="1"/>
    <col min="16119" max="16119" width="1.5703125" style="75" customWidth="1"/>
    <col min="16120" max="16124" width="3.42578125" style="75" customWidth="1"/>
    <col min="16125" max="16130" width="9.140625" style="75" customWidth="1"/>
    <col min="16131" max="16131" width="1.5703125" style="75" customWidth="1"/>
    <col min="16132" max="16136" width="3.42578125" style="75" customWidth="1"/>
    <col min="16137" max="16137" width="1.5703125" style="75" customWidth="1"/>
    <col min="16138" max="16138" width="16.5703125" style="75" bestFit="1" customWidth="1"/>
    <col min="16139" max="16140" width="10.42578125" style="75" customWidth="1"/>
    <col min="16141" max="16141" width="18" style="75" bestFit="1" customWidth="1"/>
    <col min="16142" max="16384" width="9.140625" style="75"/>
  </cols>
  <sheetData>
    <row r="1" spans="1:29" s="62" customFormat="1" ht="15" customHeight="1">
      <c r="A1" s="574" t="s">
        <v>1500</v>
      </c>
      <c r="D1" s="575"/>
      <c r="F1" s="576"/>
      <c r="G1" s="576"/>
      <c r="Y1" s="63" t="s">
        <v>3689</v>
      </c>
      <c r="Z1" s="64"/>
      <c r="AA1" s="64"/>
      <c r="AB1" s="65"/>
      <c r="AC1" s="577"/>
    </row>
    <row r="2" spans="1:29" s="62" customFormat="1" ht="9.1999999999999993" customHeight="1" thickBot="1">
      <c r="D2" s="575"/>
      <c r="F2" s="576"/>
      <c r="G2" s="576"/>
      <c r="Y2" s="67"/>
      <c r="Z2" s="68"/>
      <c r="AA2" s="68"/>
      <c r="AB2" s="69"/>
      <c r="AC2" s="577"/>
    </row>
    <row r="3" spans="1:29" s="62" customFormat="1" ht="15" customHeight="1">
      <c r="A3" s="75" t="s">
        <v>1502</v>
      </c>
      <c r="D3" s="575"/>
      <c r="F3" s="576"/>
      <c r="G3" s="576"/>
      <c r="AC3" s="577"/>
    </row>
    <row r="4" spans="1:29" s="62" customFormat="1" ht="15" customHeight="1">
      <c r="A4" s="75" t="s">
        <v>1503</v>
      </c>
      <c r="D4" s="575"/>
      <c r="F4" s="576"/>
      <c r="G4" s="576"/>
      <c r="AC4" s="577"/>
    </row>
    <row r="5" spans="1:29" s="62" customFormat="1" ht="15" customHeight="1">
      <c r="D5" s="575"/>
      <c r="F5" s="576"/>
      <c r="G5" s="576"/>
      <c r="AC5" s="577"/>
    </row>
    <row r="6" spans="1:29" ht="76.5" customHeight="1">
      <c r="A6" s="578" t="s">
        <v>3690</v>
      </c>
      <c r="C6" s="579"/>
      <c r="D6" s="580"/>
      <c r="E6" s="579"/>
      <c r="F6" s="581"/>
      <c r="G6" s="581"/>
      <c r="H6" s="579"/>
      <c r="I6" s="579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582"/>
    </row>
    <row r="7" spans="1:29" ht="15" customHeight="1" thickBot="1">
      <c r="B7" s="75"/>
      <c r="C7" s="76"/>
      <c r="E7" s="76"/>
      <c r="F7" s="583"/>
      <c r="G7" s="583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582"/>
    </row>
    <row r="8" spans="1:29" ht="23.45" customHeight="1" thickBot="1">
      <c r="A8" s="1043" t="s">
        <v>1505</v>
      </c>
      <c r="B8" s="1044"/>
      <c r="C8" s="1044"/>
      <c r="D8" s="1044"/>
      <c r="E8" s="1044"/>
      <c r="F8" s="1044"/>
      <c r="G8" s="1044"/>
      <c r="H8" s="1044"/>
      <c r="I8" s="1045"/>
      <c r="J8" s="76"/>
      <c r="K8" s="584" t="s">
        <v>3691</v>
      </c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81"/>
      <c r="AC8" s="582"/>
    </row>
    <row r="9" spans="1:29" ht="15" customHeight="1">
      <c r="A9" s="585"/>
      <c r="B9" s="84"/>
      <c r="C9" s="586"/>
      <c r="D9" s="84"/>
      <c r="E9" s="587"/>
      <c r="F9" s="587"/>
      <c r="G9" s="84"/>
      <c r="H9" s="84"/>
      <c r="I9" s="85"/>
      <c r="J9" s="76"/>
      <c r="K9" s="588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5"/>
      <c r="AC9" s="582"/>
    </row>
    <row r="10" spans="1:29" ht="15" customHeight="1">
      <c r="A10" s="589" t="s">
        <v>1506</v>
      </c>
      <c r="B10" s="379">
        <v>60</v>
      </c>
      <c r="C10" s="590" t="s">
        <v>3462</v>
      </c>
      <c r="D10" s="589" t="s">
        <v>3191</v>
      </c>
      <c r="E10" s="591"/>
      <c r="F10" s="591"/>
      <c r="G10" s="87"/>
      <c r="H10" s="87"/>
      <c r="I10" s="88"/>
      <c r="J10" s="76"/>
      <c r="K10" s="592" t="s">
        <v>3692</v>
      </c>
      <c r="L10" s="593"/>
      <c r="M10" s="593"/>
      <c r="N10" s="593"/>
      <c r="O10" s="593"/>
      <c r="P10" s="594"/>
      <c r="Q10" s="594"/>
      <c r="R10" s="595">
        <v>2</v>
      </c>
      <c r="S10" s="595">
        <v>0</v>
      </c>
      <c r="T10" s="595">
        <v>2</v>
      </c>
      <c r="U10" s="595">
        <v>5</v>
      </c>
      <c r="V10" s="594"/>
      <c r="W10" s="594"/>
      <c r="X10" s="594"/>
      <c r="Y10" s="594"/>
      <c r="Z10" s="594"/>
      <c r="AA10" s="594"/>
      <c r="AB10" s="596"/>
      <c r="AC10" s="582"/>
    </row>
    <row r="11" spans="1:29">
      <c r="A11" s="597"/>
      <c r="C11" s="598"/>
      <c r="D11" s="76"/>
      <c r="E11" s="583"/>
      <c r="F11" s="583"/>
      <c r="G11" s="76"/>
      <c r="H11" s="76"/>
      <c r="I11" s="88"/>
      <c r="J11" s="76"/>
      <c r="K11" s="599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88"/>
      <c r="AC11" s="582"/>
    </row>
    <row r="12" spans="1:29" ht="15" customHeight="1">
      <c r="A12" s="597"/>
      <c r="C12" s="598"/>
      <c r="D12" s="76"/>
      <c r="E12" s="583"/>
      <c r="F12" s="583"/>
      <c r="G12" s="76"/>
      <c r="H12" s="76"/>
      <c r="I12" s="88"/>
      <c r="J12" s="76"/>
      <c r="K12" s="600" t="s">
        <v>3693</v>
      </c>
      <c r="L12" s="89"/>
      <c r="M12" s="89"/>
      <c r="N12" s="89"/>
      <c r="O12" s="89"/>
      <c r="P12" s="89"/>
      <c r="Q12" s="76">
        <v>1</v>
      </c>
      <c r="R12" s="87"/>
      <c r="S12" s="76"/>
      <c r="T12" s="76">
        <v>2</v>
      </c>
      <c r="U12" s="87"/>
      <c r="V12" s="76"/>
      <c r="W12" s="76">
        <v>3</v>
      </c>
      <c r="X12" s="87"/>
      <c r="Y12" s="76"/>
      <c r="Z12" s="76">
        <v>4</v>
      </c>
      <c r="AA12" s="87"/>
      <c r="AB12" s="88"/>
      <c r="AC12" s="582"/>
    </row>
    <row r="13" spans="1:29" ht="10.35" customHeight="1">
      <c r="A13" s="597"/>
      <c r="C13" s="598"/>
      <c r="D13" s="76"/>
      <c r="E13" s="583"/>
      <c r="F13" s="583"/>
      <c r="G13" s="76"/>
      <c r="H13" s="76"/>
      <c r="I13" s="88"/>
      <c r="J13" s="76"/>
      <c r="K13" s="599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88"/>
      <c r="AC13" s="582"/>
    </row>
    <row r="14" spans="1:29" ht="15" customHeight="1">
      <c r="A14" s="597"/>
      <c r="C14" s="598"/>
      <c r="D14" s="76"/>
      <c r="E14" s="583"/>
      <c r="F14" s="583"/>
      <c r="G14" s="76"/>
      <c r="H14" s="76"/>
      <c r="I14" s="88"/>
      <c r="J14" s="76"/>
      <c r="K14" s="600" t="s">
        <v>3694</v>
      </c>
      <c r="L14" s="89"/>
      <c r="M14" s="89"/>
      <c r="N14" s="89"/>
      <c r="O14" s="89"/>
      <c r="P14" s="89"/>
      <c r="Q14" s="76"/>
      <c r="R14" s="87"/>
      <c r="S14" s="76"/>
      <c r="T14" s="76"/>
      <c r="U14" s="89" t="s">
        <v>3695</v>
      </c>
      <c r="V14" s="90"/>
      <c r="W14" s="90"/>
      <c r="X14" s="90"/>
      <c r="Y14" s="90"/>
      <c r="Z14" s="601"/>
      <c r="AA14" s="87" t="s">
        <v>4869</v>
      </c>
      <c r="AB14" s="88"/>
      <c r="AC14" s="582"/>
    </row>
    <row r="15" spans="1:29" ht="15" customHeight="1" thickBot="1">
      <c r="A15" s="602"/>
      <c r="B15" s="93"/>
      <c r="C15" s="603"/>
      <c r="D15" s="93"/>
      <c r="E15" s="604"/>
      <c r="F15" s="604"/>
      <c r="G15" s="93"/>
      <c r="H15" s="93"/>
      <c r="I15" s="94"/>
      <c r="J15" s="76"/>
      <c r="K15" s="605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4"/>
      <c r="AC15" s="582"/>
    </row>
    <row r="16" spans="1:29" ht="7.5" customHeight="1">
      <c r="B16" s="75"/>
      <c r="C16" s="76"/>
      <c r="D16" s="598"/>
      <c r="E16" s="76"/>
      <c r="F16" s="583"/>
      <c r="G16" s="583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582"/>
    </row>
    <row r="17" spans="1:29" ht="7.5" customHeight="1">
      <c r="B17" s="75"/>
      <c r="C17" s="76"/>
      <c r="D17" s="598"/>
      <c r="E17" s="76"/>
      <c r="F17" s="583"/>
      <c r="G17" s="583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582"/>
    </row>
    <row r="18" spans="1:29" ht="7.5" customHeight="1">
      <c r="B18" s="75"/>
      <c r="C18" s="76"/>
      <c r="D18" s="598"/>
      <c r="E18" s="76"/>
      <c r="F18" s="583"/>
      <c r="G18" s="583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582"/>
    </row>
    <row r="19" spans="1:29" ht="7.5" customHeight="1" thickBot="1">
      <c r="B19" s="75"/>
      <c r="C19" s="76"/>
      <c r="D19" s="598"/>
      <c r="E19" s="76"/>
      <c r="F19" s="583"/>
      <c r="G19" s="583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582"/>
    </row>
    <row r="20" spans="1:29" ht="23.45" customHeight="1" thickBot="1">
      <c r="A20" s="1043" t="s">
        <v>1508</v>
      </c>
      <c r="B20" s="1044"/>
      <c r="C20" s="1044"/>
      <c r="D20" s="1044"/>
      <c r="E20" s="1044"/>
      <c r="F20" s="1044"/>
      <c r="G20" s="1044"/>
      <c r="H20" s="1044"/>
      <c r="I20" s="1044"/>
      <c r="J20" s="1044"/>
      <c r="K20" s="1044"/>
      <c r="L20" s="1044"/>
      <c r="M20" s="1044"/>
      <c r="N20" s="1044"/>
      <c r="O20" s="1044"/>
      <c r="P20" s="1044"/>
      <c r="Q20" s="1044"/>
      <c r="R20" s="1044"/>
      <c r="S20" s="1044"/>
      <c r="T20" s="1044"/>
      <c r="U20" s="1044"/>
      <c r="V20" s="1044"/>
      <c r="W20" s="1044"/>
      <c r="X20" s="1044"/>
      <c r="Y20" s="1044"/>
      <c r="Z20" s="1044"/>
      <c r="AA20" s="1044"/>
      <c r="AB20" s="1045"/>
      <c r="AC20" s="582"/>
    </row>
    <row r="21" spans="1:29" ht="15" customHeight="1">
      <c r="A21" s="606"/>
      <c r="B21" s="607"/>
      <c r="C21" s="97"/>
      <c r="D21" s="608"/>
      <c r="E21" s="97"/>
      <c r="F21" s="609"/>
      <c r="G21" s="610"/>
      <c r="H21" s="611"/>
      <c r="I21" s="611"/>
      <c r="J21" s="611"/>
      <c r="K21" s="611"/>
      <c r="L21" s="611"/>
      <c r="M21" s="611"/>
      <c r="N21" s="611"/>
      <c r="O21" s="611"/>
      <c r="P21" s="611"/>
      <c r="Q21" s="611"/>
      <c r="R21" s="611"/>
      <c r="S21" s="611"/>
      <c r="T21" s="611"/>
      <c r="U21" s="611"/>
      <c r="V21" s="611"/>
      <c r="W21" s="611"/>
      <c r="X21" s="611"/>
      <c r="Y21" s="611"/>
      <c r="Z21" s="611"/>
      <c r="AA21" s="611"/>
      <c r="AB21" s="612"/>
      <c r="AC21" s="582"/>
    </row>
    <row r="22" spans="1:29" ht="15" customHeight="1">
      <c r="A22" s="599"/>
      <c r="C22" s="76"/>
      <c r="D22" s="76"/>
      <c r="E22" s="90"/>
      <c r="F22" s="76"/>
      <c r="G22" s="613"/>
      <c r="I22" s="90" t="s">
        <v>3192</v>
      </c>
      <c r="J22" s="87"/>
      <c r="K22" s="76"/>
      <c r="L22" s="76"/>
      <c r="M22" s="90" t="s">
        <v>3696</v>
      </c>
      <c r="N22" s="87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88"/>
      <c r="AC22" s="582"/>
    </row>
    <row r="23" spans="1:29" ht="15" customHeight="1" thickBot="1">
      <c r="A23" s="605"/>
      <c r="B23" s="93"/>
      <c r="C23" s="93"/>
      <c r="D23" s="603"/>
      <c r="E23" s="93"/>
      <c r="F23" s="604"/>
      <c r="G23" s="604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4"/>
      <c r="AC23" s="582"/>
    </row>
    <row r="24" spans="1:29" ht="7.5" customHeight="1">
      <c r="C24" s="76"/>
      <c r="D24" s="598"/>
      <c r="E24" s="84"/>
      <c r="F24" s="587"/>
      <c r="G24" s="587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582"/>
    </row>
    <row r="25" spans="1:29" ht="7.5" customHeight="1">
      <c r="C25" s="76"/>
      <c r="D25" s="598"/>
      <c r="E25" s="76"/>
      <c r="F25" s="583"/>
      <c r="G25" s="583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582"/>
    </row>
    <row r="26" spans="1:29" ht="7.5" customHeight="1">
      <c r="C26" s="76"/>
      <c r="D26" s="598"/>
      <c r="E26" s="76"/>
      <c r="F26" s="583"/>
      <c r="G26" s="583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582"/>
    </row>
    <row r="27" spans="1:29" ht="7.5" customHeight="1">
      <c r="C27" s="76"/>
      <c r="D27" s="598"/>
      <c r="E27" s="76"/>
      <c r="F27" s="583"/>
      <c r="G27" s="583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582"/>
    </row>
    <row r="28" spans="1:29" ht="21.75" customHeight="1" thickBot="1">
      <c r="A28" s="614"/>
      <c r="B28" s="614"/>
      <c r="C28" s="614"/>
      <c r="D28" s="598" t="s">
        <v>3697</v>
      </c>
      <c r="E28" s="614"/>
      <c r="F28" s="615"/>
      <c r="G28" s="615"/>
      <c r="H28" s="614"/>
      <c r="I28" s="614"/>
      <c r="J28" s="614"/>
      <c r="K28" s="614"/>
      <c r="L28" s="614"/>
      <c r="M28" s="614"/>
      <c r="N28" s="614"/>
      <c r="O28" s="614"/>
      <c r="P28" s="614"/>
      <c r="Q28" s="614"/>
      <c r="R28" s="614"/>
      <c r="S28" s="614"/>
      <c r="T28" s="614"/>
      <c r="U28" s="614"/>
      <c r="V28" s="614"/>
      <c r="W28" s="614"/>
      <c r="Y28" s="616"/>
      <c r="Z28" s="616"/>
      <c r="AA28" s="616"/>
      <c r="AB28" s="616"/>
    </row>
    <row r="29" spans="1:29" ht="51.75" customHeight="1" thickBot="1">
      <c r="A29" s="617" t="s">
        <v>1509</v>
      </c>
      <c r="B29" s="618" t="s">
        <v>1510</v>
      </c>
      <c r="C29" s="619" t="s">
        <v>1511</v>
      </c>
      <c r="D29" s="620" t="s">
        <v>4876</v>
      </c>
      <c r="E29" s="621" t="s">
        <v>4864</v>
      </c>
      <c r="F29" s="622"/>
      <c r="G29" s="623"/>
      <c r="H29" s="624"/>
      <c r="I29" s="624"/>
      <c r="J29" s="624"/>
      <c r="K29" s="624"/>
      <c r="L29" s="624"/>
      <c r="M29" s="624"/>
      <c r="N29" s="624"/>
      <c r="O29" s="624"/>
      <c r="P29" s="624"/>
      <c r="Q29" s="624"/>
      <c r="R29" s="624"/>
      <c r="S29" s="624"/>
      <c r="T29" s="624"/>
      <c r="U29" s="624"/>
      <c r="V29" s="624"/>
      <c r="W29" s="624"/>
    </row>
    <row r="30" spans="1:29" s="631" customFormat="1" ht="24.95" customHeight="1">
      <c r="A30" s="625"/>
      <c r="B30" s="626" t="s">
        <v>3698</v>
      </c>
      <c r="C30" s="627" t="s">
        <v>3699</v>
      </c>
      <c r="D30" s="628">
        <f>+D31+D58+D95</f>
        <v>36367564.349999994</v>
      </c>
      <c r="E30" s="628">
        <f>+E31+E58+E95</f>
        <v>36099690</v>
      </c>
      <c r="F30" s="629"/>
      <c r="G30" s="630"/>
      <c r="J30" s="632"/>
    </row>
    <row r="31" spans="1:29" s="631" customFormat="1" ht="24.95" customHeight="1">
      <c r="A31" s="633"/>
      <c r="B31" s="634" t="s">
        <v>3700</v>
      </c>
      <c r="C31" s="635" t="s">
        <v>3701</v>
      </c>
      <c r="D31" s="636">
        <f>+D32+D35+D38+D43+D44-D53</f>
        <v>11565.640000000014</v>
      </c>
      <c r="E31" s="636">
        <f>+E32+E35+E38+E43+E44-E53</f>
        <v>24691</v>
      </c>
      <c r="F31" s="637"/>
      <c r="G31" s="630"/>
      <c r="J31" s="632"/>
    </row>
    <row r="32" spans="1:29" s="642" customFormat="1" ht="24.95" customHeight="1">
      <c r="A32" s="638"/>
      <c r="B32" s="639" t="s">
        <v>3702</v>
      </c>
      <c r="C32" s="640" t="s">
        <v>3703</v>
      </c>
      <c r="D32" s="641">
        <f>+D33-D34</f>
        <v>0</v>
      </c>
      <c r="E32" s="641">
        <f>+E33-E34</f>
        <v>0</v>
      </c>
      <c r="F32" s="629"/>
      <c r="G32" s="630"/>
      <c r="J32" s="632"/>
      <c r="K32" s="631"/>
    </row>
    <row r="33" spans="1:11" s="648" customFormat="1" ht="24.95" customHeight="1">
      <c r="A33" s="643"/>
      <c r="B33" s="644" t="s">
        <v>3704</v>
      </c>
      <c r="C33" s="645" t="s">
        <v>3705</v>
      </c>
      <c r="D33" s="646">
        <f>+'SP Attivo Alim'!I4</f>
        <v>0</v>
      </c>
      <c r="E33" s="646">
        <f>+'SP Attivo Alim'!J4</f>
        <v>0</v>
      </c>
      <c r="F33" s="629"/>
      <c r="G33" s="647"/>
      <c r="J33" s="632">
        <f>+'SP Attivo Alim'!I18</f>
        <v>0</v>
      </c>
      <c r="K33" s="631"/>
    </row>
    <row r="34" spans="1:11" s="648" customFormat="1" ht="24.95" customHeight="1">
      <c r="A34" s="643"/>
      <c r="B34" s="644" t="s">
        <v>3706</v>
      </c>
      <c r="C34" s="645" t="s">
        <v>3707</v>
      </c>
      <c r="D34" s="646">
        <f>+'Alimentazione SP P'!I33</f>
        <v>0</v>
      </c>
      <c r="E34" s="646">
        <f>+'Alimentazione SP P'!J33</f>
        <v>0</v>
      </c>
      <c r="F34" s="629"/>
      <c r="G34" s="647"/>
      <c r="J34" s="632"/>
      <c r="K34" s="631"/>
    </row>
    <row r="35" spans="1:11" s="648" customFormat="1" ht="24.95" customHeight="1">
      <c r="A35" s="649"/>
      <c r="B35" s="639" t="s">
        <v>3708</v>
      </c>
      <c r="C35" s="640" t="s">
        <v>3709</v>
      </c>
      <c r="D35" s="641">
        <f>+D36-D37</f>
        <v>0</v>
      </c>
      <c r="E35" s="641">
        <f>+E36-E37</f>
        <v>0</v>
      </c>
      <c r="F35" s="629"/>
      <c r="G35" s="647"/>
      <c r="J35" s="632"/>
      <c r="K35" s="631"/>
    </row>
    <row r="36" spans="1:11" s="648" customFormat="1" ht="24.95" customHeight="1">
      <c r="A36" s="643"/>
      <c r="B36" s="644" t="s">
        <v>3710</v>
      </c>
      <c r="C36" s="645" t="s">
        <v>3711</v>
      </c>
      <c r="D36" s="646">
        <f>+'SP Attivo Alim'!I5</f>
        <v>0</v>
      </c>
      <c r="E36" s="646">
        <f>+'SP Attivo Alim'!J5</f>
        <v>0</v>
      </c>
      <c r="F36" s="629"/>
      <c r="G36" s="647"/>
      <c r="J36" s="632"/>
      <c r="K36" s="631"/>
    </row>
    <row r="37" spans="1:11" s="648" customFormat="1" ht="24.95" customHeight="1">
      <c r="A37" s="643"/>
      <c r="B37" s="644" t="s">
        <v>3712</v>
      </c>
      <c r="C37" s="645" t="s">
        <v>3713</v>
      </c>
      <c r="D37" s="646">
        <f>+'Alimentazione SP P'!I34</f>
        <v>0</v>
      </c>
      <c r="E37" s="646">
        <f>+'Alimentazione SP P'!J34</f>
        <v>0</v>
      </c>
      <c r="F37" s="629"/>
      <c r="G37" s="647"/>
      <c r="J37" s="632"/>
      <c r="K37" s="631"/>
    </row>
    <row r="38" spans="1:11" s="648" customFormat="1" ht="24.95" customHeight="1">
      <c r="A38" s="649"/>
      <c r="B38" s="639" t="s">
        <v>3714</v>
      </c>
      <c r="C38" s="640" t="s">
        <v>3715</v>
      </c>
      <c r="D38" s="641">
        <f>+D39-D40+D41-D42</f>
        <v>0</v>
      </c>
      <c r="E38" s="641">
        <f>+E39-E40+E41-E42</f>
        <v>0</v>
      </c>
      <c r="F38" s="629"/>
      <c r="G38" s="647"/>
      <c r="J38" s="632"/>
      <c r="K38" s="631"/>
    </row>
    <row r="39" spans="1:11" s="648" customFormat="1" ht="34.5" customHeight="1">
      <c r="A39" s="643"/>
      <c r="B39" s="644" t="s">
        <v>3716</v>
      </c>
      <c r="C39" s="645" t="s">
        <v>3717</v>
      </c>
      <c r="D39" s="646">
        <f>+'SP Attivo Alim'!I7</f>
        <v>0</v>
      </c>
      <c r="E39" s="646">
        <f>+'SP Attivo Alim'!J7</f>
        <v>0</v>
      </c>
      <c r="F39" s="629"/>
      <c r="G39" s="647"/>
      <c r="J39" s="632"/>
      <c r="K39" s="631"/>
    </row>
    <row r="40" spans="1:11" s="648" customFormat="1" ht="34.5" customHeight="1">
      <c r="A40" s="643"/>
      <c r="B40" s="644" t="s">
        <v>3718</v>
      </c>
      <c r="C40" s="645" t="s">
        <v>3719</v>
      </c>
      <c r="D40" s="646">
        <f>+'Alimentazione SP P'!I35</f>
        <v>0</v>
      </c>
      <c r="E40" s="646">
        <f>+'Alimentazione SP P'!J35</f>
        <v>0</v>
      </c>
      <c r="F40" s="629"/>
      <c r="G40" s="647"/>
      <c r="J40" s="632"/>
      <c r="K40" s="631"/>
    </row>
    <row r="41" spans="1:11" s="648" customFormat="1" ht="34.5" customHeight="1">
      <c r="A41" s="643"/>
      <c r="B41" s="644" t="s">
        <v>3720</v>
      </c>
      <c r="C41" s="645" t="s">
        <v>3721</v>
      </c>
      <c r="D41" s="646">
        <f>+'SP Attivo Alim'!I8</f>
        <v>0</v>
      </c>
      <c r="E41" s="646">
        <f>+'SP Attivo Alim'!J8</f>
        <v>0</v>
      </c>
      <c r="F41" s="629"/>
      <c r="G41" s="647"/>
      <c r="J41" s="632"/>
      <c r="K41" s="631"/>
    </row>
    <row r="42" spans="1:11" s="648" customFormat="1" ht="34.5" customHeight="1">
      <c r="A42" s="643"/>
      <c r="B42" s="644" t="s">
        <v>3722</v>
      </c>
      <c r="C42" s="645" t="s">
        <v>3723</v>
      </c>
      <c r="D42" s="646">
        <f>+'Alimentazione SP P'!I36</f>
        <v>0</v>
      </c>
      <c r="E42" s="646">
        <f>+'Alimentazione SP P'!J36</f>
        <v>0</v>
      </c>
      <c r="F42" s="629"/>
      <c r="G42" s="647"/>
      <c r="J42" s="632"/>
      <c r="K42" s="631"/>
    </row>
    <row r="43" spans="1:11" s="648" customFormat="1" ht="24.95" customHeight="1">
      <c r="A43" s="643"/>
      <c r="B43" s="650" t="s">
        <v>3724</v>
      </c>
      <c r="C43" s="651" t="s">
        <v>3725</v>
      </c>
      <c r="D43" s="646">
        <f>+'SP Attivo Alim'!I9</f>
        <v>0</v>
      </c>
      <c r="E43" s="646">
        <f>+'SP Attivo Alim'!J9</f>
        <v>0</v>
      </c>
      <c r="F43" s="629"/>
      <c r="G43" s="647"/>
      <c r="J43" s="632"/>
      <c r="K43" s="631"/>
    </row>
    <row r="44" spans="1:11" s="648" customFormat="1" ht="24.95" customHeight="1">
      <c r="A44" s="649"/>
      <c r="B44" s="639" t="s">
        <v>3726</v>
      </c>
      <c r="C44" s="640" t="s">
        <v>3727</v>
      </c>
      <c r="D44" s="641">
        <f>+D45-D46+D47-D48+D49-D50+D51-D52</f>
        <v>11565.640000000014</v>
      </c>
      <c r="E44" s="641">
        <f>+E45-E46+E47-E48+E49-E50+E51-E52</f>
        <v>24691</v>
      </c>
      <c r="F44" s="629"/>
      <c r="G44" s="647"/>
      <c r="J44" s="632"/>
      <c r="K44" s="631"/>
    </row>
    <row r="45" spans="1:11" s="648" customFormat="1" ht="24.95" customHeight="1">
      <c r="A45" s="643"/>
      <c r="B45" s="644" t="s">
        <v>3728</v>
      </c>
      <c r="C45" s="645" t="s">
        <v>3729</v>
      </c>
      <c r="D45" s="646">
        <f>+'SP Attivo Alim'!I11</f>
        <v>301098.38</v>
      </c>
      <c r="E45" s="646">
        <f>+'SP Attivo Alim'!J11</f>
        <v>301098</v>
      </c>
      <c r="F45" s="629"/>
      <c r="G45" s="647"/>
      <c r="J45" s="632"/>
      <c r="K45" s="631"/>
    </row>
    <row r="46" spans="1:11" s="648" customFormat="1" ht="24.95" customHeight="1">
      <c r="A46" s="643"/>
      <c r="B46" s="644" t="s">
        <v>3730</v>
      </c>
      <c r="C46" s="645" t="s">
        <v>3731</v>
      </c>
      <c r="D46" s="646">
        <f>+'Alimentazione SP P'!I37</f>
        <v>289532.74</v>
      </c>
      <c r="E46" s="646">
        <f>+'Alimentazione SP P'!J37</f>
        <v>276407</v>
      </c>
      <c r="F46" s="629"/>
      <c r="G46" s="647"/>
      <c r="J46" s="632"/>
      <c r="K46" s="631"/>
    </row>
    <row r="47" spans="1:11" s="648" customFormat="1" ht="24.95" customHeight="1">
      <c r="A47" s="643"/>
      <c r="B47" s="644" t="s">
        <v>3732</v>
      </c>
      <c r="C47" s="645" t="s">
        <v>3733</v>
      </c>
      <c r="D47" s="646">
        <f>+'SP Attivo Alim'!I12</f>
        <v>39838.230000000003</v>
      </c>
      <c r="E47" s="646">
        <f>+'SP Attivo Alim'!J12</f>
        <v>39838</v>
      </c>
      <c r="F47" s="629"/>
      <c r="G47" s="647"/>
      <c r="J47" s="632"/>
      <c r="K47" s="631"/>
    </row>
    <row r="48" spans="1:11" s="648" customFormat="1" ht="24.95" customHeight="1">
      <c r="A48" s="643"/>
      <c r="B48" s="644" t="s">
        <v>3734</v>
      </c>
      <c r="C48" s="645" t="s">
        <v>3735</v>
      </c>
      <c r="D48" s="646">
        <f>+'Alimentazione SP P'!I38</f>
        <v>39838.230000000003</v>
      </c>
      <c r="E48" s="646">
        <f>+'Alimentazione SP P'!J38</f>
        <v>39838</v>
      </c>
      <c r="F48" s="629"/>
      <c r="G48" s="647"/>
      <c r="J48" s="632"/>
      <c r="K48" s="631"/>
    </row>
    <row r="49" spans="1:11" s="648" customFormat="1" ht="24.95" customHeight="1">
      <c r="A49" s="643"/>
      <c r="B49" s="644" t="s">
        <v>3736</v>
      </c>
      <c r="C49" s="645" t="s">
        <v>3737</v>
      </c>
      <c r="D49" s="646">
        <f>+'SP Attivo Alim'!I13</f>
        <v>0</v>
      </c>
      <c r="E49" s="646">
        <f>+'SP Attivo Alim'!J13</f>
        <v>0</v>
      </c>
      <c r="F49" s="629"/>
      <c r="G49" s="647"/>
      <c r="J49" s="632"/>
      <c r="K49" s="631"/>
    </row>
    <row r="50" spans="1:11" s="648" customFormat="1" ht="24.95" customHeight="1">
      <c r="A50" s="643"/>
      <c r="B50" s="644" t="s">
        <v>3738</v>
      </c>
      <c r="C50" s="645" t="s">
        <v>3739</v>
      </c>
      <c r="D50" s="646">
        <f>+'Alimentazione SP P'!I39</f>
        <v>0</v>
      </c>
      <c r="E50" s="646">
        <f>+'Alimentazione SP P'!J39</f>
        <v>0</v>
      </c>
      <c r="F50" s="629"/>
      <c r="G50" s="647"/>
      <c r="J50" s="632"/>
      <c r="K50" s="631"/>
    </row>
    <row r="51" spans="1:11" s="648" customFormat="1" ht="24.95" customHeight="1">
      <c r="A51" s="643"/>
      <c r="B51" s="644" t="s">
        <v>3740</v>
      </c>
      <c r="C51" s="645" t="s">
        <v>3741</v>
      </c>
      <c r="D51" s="646">
        <f>+'SP Attivo Alim'!I14</f>
        <v>0</v>
      </c>
      <c r="E51" s="646">
        <f>+'SP Attivo Alim'!J14</f>
        <v>0</v>
      </c>
      <c r="F51" s="629"/>
      <c r="G51" s="647"/>
      <c r="J51" s="632"/>
      <c r="K51" s="631"/>
    </row>
    <row r="52" spans="1:11" s="648" customFormat="1" ht="24.95" customHeight="1">
      <c r="A52" s="643"/>
      <c r="B52" s="644" t="s">
        <v>3742</v>
      </c>
      <c r="C52" s="645" t="s">
        <v>3743</v>
      </c>
      <c r="D52" s="646">
        <f>+'Alimentazione SP P'!I40</f>
        <v>0</v>
      </c>
      <c r="E52" s="646">
        <f>+'Alimentazione SP P'!J40</f>
        <v>0</v>
      </c>
      <c r="F52" s="629"/>
      <c r="G52" s="647"/>
      <c r="J52" s="632"/>
      <c r="K52" s="631"/>
    </row>
    <row r="53" spans="1:11" s="648" customFormat="1" ht="24.95" customHeight="1">
      <c r="A53" s="649"/>
      <c r="B53" s="639" t="s">
        <v>3744</v>
      </c>
      <c r="C53" s="640" t="s">
        <v>3745</v>
      </c>
      <c r="D53" s="641">
        <f>SUM(D54:D57)</f>
        <v>0</v>
      </c>
      <c r="E53" s="641">
        <f>SUM(E54:E57)</f>
        <v>0</v>
      </c>
      <c r="F53" s="629"/>
      <c r="G53" s="647"/>
      <c r="J53" s="632"/>
      <c r="K53" s="631"/>
    </row>
    <row r="54" spans="1:11" s="648" customFormat="1" ht="24.95" customHeight="1">
      <c r="A54" s="652"/>
      <c r="B54" s="644" t="s">
        <v>3746</v>
      </c>
      <c r="C54" s="645" t="s">
        <v>3747</v>
      </c>
      <c r="D54" s="646">
        <f>+'Alimentazione SP P'!I50</f>
        <v>0</v>
      </c>
      <c r="E54" s="646">
        <f>+'Alimentazione SP P'!J50</f>
        <v>0</v>
      </c>
      <c r="F54" s="629"/>
      <c r="G54" s="647"/>
      <c r="J54" s="632"/>
      <c r="K54" s="631"/>
    </row>
    <row r="55" spans="1:11" s="648" customFormat="1" ht="24.95" customHeight="1">
      <c r="A55" s="643"/>
      <c r="B55" s="644" t="s">
        <v>3748</v>
      </c>
      <c r="C55" s="645" t="s">
        <v>3749</v>
      </c>
      <c r="D55" s="646">
        <f>+'Alimentazione SP P'!I51</f>
        <v>0</v>
      </c>
      <c r="E55" s="646">
        <f>+'Alimentazione SP P'!J51</f>
        <v>0</v>
      </c>
      <c r="F55" s="629"/>
      <c r="G55" s="647"/>
      <c r="J55" s="632"/>
      <c r="K55" s="631"/>
    </row>
    <row r="56" spans="1:11" s="648" customFormat="1" ht="24.95" customHeight="1">
      <c r="A56" s="643"/>
      <c r="B56" s="644" t="s">
        <v>3750</v>
      </c>
      <c r="C56" s="645" t="s">
        <v>3751</v>
      </c>
      <c r="D56" s="646">
        <f>+'Alimentazione SP P'!I52</f>
        <v>0</v>
      </c>
      <c r="E56" s="646">
        <f>+'Alimentazione SP P'!J52</f>
        <v>0</v>
      </c>
      <c r="F56" s="629"/>
      <c r="G56" s="647"/>
      <c r="J56" s="632"/>
      <c r="K56" s="631"/>
    </row>
    <row r="57" spans="1:11" s="648" customFormat="1" ht="24.95" customHeight="1" thickBot="1">
      <c r="A57" s="653"/>
      <c r="B57" s="654" t="s">
        <v>3752</v>
      </c>
      <c r="C57" s="655" t="s">
        <v>3753</v>
      </c>
      <c r="D57" s="646">
        <f>+'Alimentazione SP P'!I53</f>
        <v>0</v>
      </c>
      <c r="E57" s="646">
        <f>+'Alimentazione SP P'!J53</f>
        <v>0</v>
      </c>
      <c r="F57" s="629"/>
      <c r="G57" s="647"/>
      <c r="J57" s="632"/>
      <c r="K57" s="631"/>
    </row>
    <row r="58" spans="1:11" s="648" customFormat="1" ht="24.95" customHeight="1">
      <c r="A58" s="656"/>
      <c r="B58" s="657" t="s">
        <v>3754</v>
      </c>
      <c r="C58" s="658" t="s">
        <v>3755</v>
      </c>
      <c r="D58" s="659">
        <f>+D59+D62+D69+D72+D75+D78+D81+D82+D85-D86</f>
        <v>36287534.709999993</v>
      </c>
      <c r="E58" s="659">
        <f>+E59+E62+E69+E72+E75+E78+E81+E82+E85-E86</f>
        <v>35892904</v>
      </c>
      <c r="F58" s="637"/>
      <c r="G58" s="630"/>
      <c r="J58" s="632"/>
      <c r="K58" s="631"/>
    </row>
    <row r="59" spans="1:11" s="648" customFormat="1" ht="24.95" customHeight="1">
      <c r="A59" s="649"/>
      <c r="B59" s="639" t="s">
        <v>3756</v>
      </c>
      <c r="C59" s="640" t="s">
        <v>3757</v>
      </c>
      <c r="D59" s="641">
        <f>+D60+D61</f>
        <v>0</v>
      </c>
      <c r="E59" s="641">
        <f>+E60+E61</f>
        <v>0</v>
      </c>
      <c r="F59" s="629"/>
      <c r="G59" s="630"/>
      <c r="J59" s="632"/>
      <c r="K59" s="631"/>
    </row>
    <row r="60" spans="1:11" s="648" customFormat="1" ht="24.95" customHeight="1">
      <c r="A60" s="643"/>
      <c r="B60" s="644" t="s">
        <v>3758</v>
      </c>
      <c r="C60" s="645" t="s">
        <v>3759</v>
      </c>
      <c r="D60" s="646">
        <f>+'SP Attivo Alim'!I17</f>
        <v>0</v>
      </c>
      <c r="E60" s="646">
        <f>+'SP Attivo Alim'!J17</f>
        <v>0</v>
      </c>
      <c r="F60" s="629"/>
      <c r="G60" s="647"/>
      <c r="J60" s="632"/>
      <c r="K60" s="631"/>
    </row>
    <row r="61" spans="1:11" s="648" customFormat="1" ht="24.95" customHeight="1">
      <c r="A61" s="643"/>
      <c r="B61" s="644" t="s">
        <v>3760</v>
      </c>
      <c r="C61" s="645" t="s">
        <v>3761</v>
      </c>
      <c r="D61" s="646">
        <f>+'SP Attivo Alim'!I18</f>
        <v>0</v>
      </c>
      <c r="E61" s="646">
        <f>+'SP Attivo Alim'!J18</f>
        <v>0</v>
      </c>
      <c r="F61" s="629"/>
      <c r="G61" s="647"/>
      <c r="J61" s="632"/>
      <c r="K61" s="631"/>
    </row>
    <row r="62" spans="1:11" s="648" customFormat="1" ht="24.95" customHeight="1">
      <c r="A62" s="649"/>
      <c r="B62" s="639" t="s">
        <v>3762</v>
      </c>
      <c r="C62" s="640" t="s">
        <v>3763</v>
      </c>
      <c r="D62" s="641">
        <f>+D63+D66</f>
        <v>28213540.399999999</v>
      </c>
      <c r="E62" s="641">
        <f>+E63+E66</f>
        <v>28198615</v>
      </c>
      <c r="F62" s="629"/>
      <c r="G62" s="647"/>
      <c r="J62" s="632"/>
      <c r="K62" s="631"/>
    </row>
    <row r="63" spans="1:11" s="648" customFormat="1" ht="24.95" customHeight="1">
      <c r="A63" s="643"/>
      <c r="B63" s="644" t="s">
        <v>3764</v>
      </c>
      <c r="C63" s="645" t="s">
        <v>3765</v>
      </c>
      <c r="D63" s="646">
        <f>+D64-D65</f>
        <v>2159995.5300000003</v>
      </c>
      <c r="E63" s="646">
        <f>+E64-E65</f>
        <v>2226878</v>
      </c>
      <c r="F63" s="629"/>
      <c r="G63" s="647"/>
      <c r="J63" s="632"/>
      <c r="K63" s="631"/>
    </row>
    <row r="64" spans="1:11" s="648" customFormat="1" ht="24.95" customHeight="1">
      <c r="A64" s="643"/>
      <c r="B64" s="644" t="s">
        <v>3766</v>
      </c>
      <c r="C64" s="645" t="s">
        <v>3767</v>
      </c>
      <c r="D64" s="646">
        <f>+'SP Attivo Alim'!I20</f>
        <v>2549652.89</v>
      </c>
      <c r="E64" s="646">
        <f>+'SP Attivo Alim'!J20</f>
        <v>2540046</v>
      </c>
      <c r="F64" s="629"/>
      <c r="G64" s="647"/>
      <c r="J64" s="632"/>
      <c r="K64" s="631"/>
    </row>
    <row r="65" spans="1:11" s="648" customFormat="1" ht="24.95" customHeight="1">
      <c r="A65" s="643"/>
      <c r="B65" s="644" t="s">
        <v>3768</v>
      </c>
      <c r="C65" s="645" t="s">
        <v>3769</v>
      </c>
      <c r="D65" s="646">
        <f>+'Alimentazione SP P'!I42</f>
        <v>389657.36</v>
      </c>
      <c r="E65" s="646">
        <f>+'Alimentazione SP P'!J42</f>
        <v>313168</v>
      </c>
      <c r="F65" s="629"/>
      <c r="G65" s="647"/>
      <c r="J65" s="632"/>
      <c r="K65" s="631"/>
    </row>
    <row r="66" spans="1:11" s="648" customFormat="1" ht="24.95" customHeight="1">
      <c r="A66" s="643"/>
      <c r="B66" s="644" t="s">
        <v>3770</v>
      </c>
      <c r="C66" s="645" t="s">
        <v>3771</v>
      </c>
      <c r="D66" s="646">
        <f>+D67-D68</f>
        <v>26053544.869999997</v>
      </c>
      <c r="E66" s="646">
        <f>+E67-E68</f>
        <v>25971737</v>
      </c>
      <c r="F66" s="629"/>
      <c r="G66" s="647"/>
      <c r="J66" s="632"/>
      <c r="K66" s="631"/>
    </row>
    <row r="67" spans="1:11" s="648" customFormat="1" ht="24.95" customHeight="1">
      <c r="A67" s="643"/>
      <c r="B67" s="644" t="s">
        <v>3772</v>
      </c>
      <c r="C67" s="645" t="s">
        <v>3773</v>
      </c>
      <c r="D67" s="646">
        <f>+'SP Attivo Alim'!I21</f>
        <v>41727364.899999999</v>
      </c>
      <c r="E67" s="646">
        <f>+'SP Attivo Alim'!J21</f>
        <v>40393736</v>
      </c>
      <c r="F67" s="629"/>
      <c r="G67" s="647"/>
      <c r="J67" s="632"/>
      <c r="K67" s="631"/>
    </row>
    <row r="68" spans="1:11" s="648" customFormat="1" ht="24.95" customHeight="1">
      <c r="A68" s="643"/>
      <c r="B68" s="644" t="s">
        <v>3774</v>
      </c>
      <c r="C68" s="645" t="s">
        <v>3775</v>
      </c>
      <c r="D68" s="646">
        <f>+'Alimentazione SP P'!I43</f>
        <v>15673820.029999999</v>
      </c>
      <c r="E68" s="646">
        <f>+'Alimentazione SP P'!J43</f>
        <v>14421999</v>
      </c>
      <c r="F68" s="629"/>
      <c r="G68" s="647"/>
      <c r="J68" s="632"/>
      <c r="K68" s="631"/>
    </row>
    <row r="69" spans="1:11" s="648" customFormat="1" ht="24.95" customHeight="1">
      <c r="A69" s="649"/>
      <c r="B69" s="639" t="s">
        <v>3776</v>
      </c>
      <c r="C69" s="640" t="s">
        <v>3777</v>
      </c>
      <c r="D69" s="641">
        <f>+D70-D71</f>
        <v>422802.73</v>
      </c>
      <c r="E69" s="641">
        <f>+E70-E71</f>
        <v>487849</v>
      </c>
      <c r="F69" s="629"/>
      <c r="G69" s="647"/>
      <c r="J69" s="632"/>
      <c r="K69" s="631"/>
    </row>
    <row r="70" spans="1:11" s="648" customFormat="1" ht="24.95" customHeight="1">
      <c r="A70" s="643"/>
      <c r="B70" s="644" t="s">
        <v>3778</v>
      </c>
      <c r="C70" s="645" t="s">
        <v>3779</v>
      </c>
      <c r="D70" s="646">
        <f>+'SP Attivo Alim'!I22</f>
        <v>3661123.06</v>
      </c>
      <c r="E70" s="646">
        <f>+'SP Attivo Alim'!J22</f>
        <v>3662940</v>
      </c>
      <c r="F70" s="629"/>
      <c r="G70" s="647"/>
      <c r="J70" s="632"/>
      <c r="K70" s="631"/>
    </row>
    <row r="71" spans="1:11" s="648" customFormat="1" ht="24.95" customHeight="1">
      <c r="A71" s="643"/>
      <c r="B71" s="644" t="s">
        <v>3780</v>
      </c>
      <c r="C71" s="645" t="s">
        <v>3781</v>
      </c>
      <c r="D71" s="646">
        <f>+'Alimentazione SP P'!I44</f>
        <v>3238320.33</v>
      </c>
      <c r="E71" s="646">
        <f>+'Alimentazione SP P'!J44</f>
        <v>3175091</v>
      </c>
      <c r="F71" s="629"/>
      <c r="G71" s="647"/>
      <c r="J71" s="632"/>
      <c r="K71" s="631"/>
    </row>
    <row r="72" spans="1:11" s="648" customFormat="1" ht="24.95" customHeight="1">
      <c r="A72" s="649"/>
      <c r="B72" s="639" t="s">
        <v>3782</v>
      </c>
      <c r="C72" s="640" t="s">
        <v>3783</v>
      </c>
      <c r="D72" s="641">
        <f>+D73-D74</f>
        <v>4234538.7599999979</v>
      </c>
      <c r="E72" s="641">
        <f>+E73-E74</f>
        <v>4800853</v>
      </c>
      <c r="F72" s="629"/>
      <c r="G72" s="647"/>
      <c r="J72" s="632"/>
      <c r="K72" s="631"/>
    </row>
    <row r="73" spans="1:11" s="648" customFormat="1" ht="24.95" customHeight="1">
      <c r="A73" s="643"/>
      <c r="B73" s="644" t="s">
        <v>3784</v>
      </c>
      <c r="C73" s="645" t="s">
        <v>3785</v>
      </c>
      <c r="D73" s="646">
        <f>+'SP Attivo Alim'!I23</f>
        <v>31673734.219999999</v>
      </c>
      <c r="E73" s="646">
        <f>+'SP Attivo Alim'!J23</f>
        <v>30434295</v>
      </c>
      <c r="F73" s="629"/>
      <c r="G73" s="647"/>
      <c r="J73" s="632"/>
      <c r="K73" s="631"/>
    </row>
    <row r="74" spans="1:11" s="648" customFormat="1" ht="24.95" customHeight="1">
      <c r="A74" s="643"/>
      <c r="B74" s="644" t="s">
        <v>3786</v>
      </c>
      <c r="C74" s="645" t="s">
        <v>3787</v>
      </c>
      <c r="D74" s="646">
        <f>+'Alimentazione SP P'!I45</f>
        <v>27439195.460000001</v>
      </c>
      <c r="E74" s="646">
        <f>+'Alimentazione SP P'!J45</f>
        <v>25633442</v>
      </c>
      <c r="F74" s="629"/>
      <c r="G74" s="647"/>
      <c r="J74" s="632"/>
      <c r="K74" s="631"/>
    </row>
    <row r="75" spans="1:11" s="648" customFormat="1" ht="24.95" customHeight="1">
      <c r="A75" s="649"/>
      <c r="B75" s="639" t="s">
        <v>3788</v>
      </c>
      <c r="C75" s="640" t="s">
        <v>3789</v>
      </c>
      <c r="D75" s="641">
        <f>+D76-D77</f>
        <v>336647.49000000022</v>
      </c>
      <c r="E75" s="641">
        <f>+E76-E77</f>
        <v>353455</v>
      </c>
      <c r="F75" s="629"/>
      <c r="G75" s="647"/>
      <c r="J75" s="632"/>
      <c r="K75" s="631"/>
    </row>
    <row r="76" spans="1:11" s="648" customFormat="1" ht="24.95" customHeight="1">
      <c r="A76" s="643"/>
      <c r="B76" s="644" t="s">
        <v>3790</v>
      </c>
      <c r="C76" s="645" t="s">
        <v>3791</v>
      </c>
      <c r="D76" s="646">
        <f>+'SP Attivo Alim'!I24</f>
        <v>2861623.33</v>
      </c>
      <c r="E76" s="646">
        <f>+'SP Attivo Alim'!J24</f>
        <v>2820446</v>
      </c>
      <c r="F76" s="629"/>
      <c r="G76" s="647"/>
      <c r="J76" s="632"/>
      <c r="K76" s="631"/>
    </row>
    <row r="77" spans="1:11" s="648" customFormat="1" ht="24.95" customHeight="1">
      <c r="A77" s="643"/>
      <c r="B77" s="644" t="s">
        <v>3792</v>
      </c>
      <c r="C77" s="645" t="s">
        <v>3793</v>
      </c>
      <c r="D77" s="646">
        <f>+'Alimentazione SP P'!I46</f>
        <v>2524975.84</v>
      </c>
      <c r="E77" s="646">
        <f>+'Alimentazione SP P'!J46</f>
        <v>2466991</v>
      </c>
      <c r="F77" s="629"/>
      <c r="G77" s="647"/>
      <c r="J77" s="632"/>
      <c r="K77" s="631"/>
    </row>
    <row r="78" spans="1:11" s="648" customFormat="1" ht="24.95" customHeight="1">
      <c r="A78" s="649"/>
      <c r="B78" s="639" t="s">
        <v>3794</v>
      </c>
      <c r="C78" s="640" t="s">
        <v>3795</v>
      </c>
      <c r="D78" s="641">
        <f>+D79-D80</f>
        <v>0</v>
      </c>
      <c r="E78" s="641">
        <f>+E79-E80</f>
        <v>1688</v>
      </c>
      <c r="F78" s="629"/>
      <c r="G78" s="647"/>
      <c r="J78" s="632"/>
      <c r="K78" s="631"/>
    </row>
    <row r="79" spans="1:11" s="648" customFormat="1" ht="24.95" customHeight="1">
      <c r="A79" s="643"/>
      <c r="B79" s="644" t="s">
        <v>3796</v>
      </c>
      <c r="C79" s="645" t="s">
        <v>3797</v>
      </c>
      <c r="D79" s="646">
        <f>+'SP Attivo Alim'!I25</f>
        <v>134087.79999999999</v>
      </c>
      <c r="E79" s="646">
        <f>+'SP Attivo Alim'!J25</f>
        <v>134088</v>
      </c>
      <c r="F79" s="629"/>
      <c r="G79" s="647"/>
      <c r="J79" s="632"/>
      <c r="K79" s="631"/>
    </row>
    <row r="80" spans="1:11" s="648" customFormat="1" ht="24.95" customHeight="1">
      <c r="A80" s="643"/>
      <c r="B80" s="644" t="s">
        <v>3798</v>
      </c>
      <c r="C80" s="645" t="s">
        <v>3799</v>
      </c>
      <c r="D80" s="646">
        <f>+'Alimentazione SP P'!I47</f>
        <v>134087.79999999999</v>
      </c>
      <c r="E80" s="646">
        <f>+'Alimentazione SP P'!J47</f>
        <v>132400</v>
      </c>
      <c r="F80" s="629"/>
      <c r="G80" s="647"/>
      <c r="J80" s="632"/>
      <c r="K80" s="631"/>
    </row>
    <row r="81" spans="1:11" s="648" customFormat="1" ht="24.95" customHeight="1">
      <c r="A81" s="643"/>
      <c r="B81" s="650" t="s">
        <v>3800</v>
      </c>
      <c r="C81" s="651" t="s">
        <v>3801</v>
      </c>
      <c r="D81" s="646">
        <f>+'SP Attivo Alim'!I26</f>
        <v>0</v>
      </c>
      <c r="E81" s="646">
        <f>+'SP Attivo Alim'!J26</f>
        <v>0</v>
      </c>
      <c r="F81" s="629"/>
      <c r="G81" s="647"/>
      <c r="J81" s="632"/>
      <c r="K81" s="631"/>
    </row>
    <row r="82" spans="1:11" s="648" customFormat="1" ht="24.95" customHeight="1">
      <c r="A82" s="649"/>
      <c r="B82" s="639" t="s">
        <v>3802</v>
      </c>
      <c r="C82" s="640" t="s">
        <v>3803</v>
      </c>
      <c r="D82" s="641">
        <f>+D83-D84</f>
        <v>443794.19000000041</v>
      </c>
      <c r="E82" s="641">
        <f>+E83-E84</f>
        <v>536142</v>
      </c>
      <c r="F82" s="629"/>
      <c r="G82" s="647"/>
      <c r="J82" s="632"/>
      <c r="K82" s="631"/>
    </row>
    <row r="83" spans="1:11" s="648" customFormat="1" ht="24.95" customHeight="1">
      <c r="A83" s="643"/>
      <c r="B83" s="644" t="s">
        <v>3804</v>
      </c>
      <c r="C83" s="645" t="s">
        <v>3805</v>
      </c>
      <c r="D83" s="646">
        <f>+'SP Attivo Alim'!I27</f>
        <v>6057076.4400000004</v>
      </c>
      <c r="E83" s="646">
        <f>+'SP Attivo Alim'!J27</f>
        <v>5885379</v>
      </c>
      <c r="F83" s="629"/>
      <c r="G83" s="647"/>
      <c r="J83" s="632"/>
      <c r="K83" s="631"/>
    </row>
    <row r="84" spans="1:11" s="648" customFormat="1" ht="24.95" customHeight="1">
      <c r="A84" s="643"/>
      <c r="B84" s="644" t="s">
        <v>3806</v>
      </c>
      <c r="C84" s="645" t="s">
        <v>3807</v>
      </c>
      <c r="D84" s="646">
        <f>+'Alimentazione SP P'!I48</f>
        <v>5613282.25</v>
      </c>
      <c r="E84" s="646">
        <f>+'Alimentazione SP P'!J48</f>
        <v>5349237</v>
      </c>
      <c r="F84" s="629"/>
      <c r="G84" s="647"/>
      <c r="J84" s="632"/>
      <c r="K84" s="631"/>
    </row>
    <row r="85" spans="1:11" s="648" customFormat="1" ht="24.95" customHeight="1">
      <c r="A85" s="643"/>
      <c r="B85" s="650" t="s">
        <v>3808</v>
      </c>
      <c r="C85" s="651" t="s">
        <v>3809</v>
      </c>
      <c r="D85" s="646">
        <f>+'SP Attivo Alim'!I28</f>
        <v>2636211.14</v>
      </c>
      <c r="E85" s="646">
        <f>+'SP Attivo Alim'!J28</f>
        <v>1514302</v>
      </c>
      <c r="F85" s="629"/>
      <c r="G85" s="647"/>
      <c r="J85" s="632"/>
      <c r="K85" s="631"/>
    </row>
    <row r="86" spans="1:11" s="648" customFormat="1" ht="24.95" customHeight="1">
      <c r="A86" s="649"/>
      <c r="B86" s="639" t="s">
        <v>3810</v>
      </c>
      <c r="C86" s="640" t="s">
        <v>3811</v>
      </c>
      <c r="D86" s="641">
        <f>SUM(D87:D94)</f>
        <v>0</v>
      </c>
      <c r="E86" s="641">
        <f>SUM(E87:E94)</f>
        <v>0</v>
      </c>
      <c r="F86" s="629"/>
      <c r="G86" s="647"/>
      <c r="J86" s="632"/>
      <c r="K86" s="631"/>
    </row>
    <row r="87" spans="1:11" s="648" customFormat="1" ht="24.95" customHeight="1">
      <c r="A87" s="643"/>
      <c r="B87" s="644" t="s">
        <v>3812</v>
      </c>
      <c r="C87" s="645" t="s">
        <v>3813</v>
      </c>
      <c r="D87" s="646">
        <f>+'Alimentazione SP P'!I55+'Alimentazione SP P'!I56</f>
        <v>0</v>
      </c>
      <c r="E87" s="646">
        <f>+'Alimentazione SP P'!J55+'Alimentazione SP P'!J56</f>
        <v>0</v>
      </c>
      <c r="F87" s="629"/>
      <c r="G87" s="647"/>
      <c r="J87" s="632"/>
      <c r="K87" s="631"/>
    </row>
    <row r="88" spans="1:11" s="648" customFormat="1" ht="24.95" customHeight="1">
      <c r="A88" s="643"/>
      <c r="B88" s="644" t="s">
        <v>3814</v>
      </c>
      <c r="C88" s="645" t="s">
        <v>3815</v>
      </c>
      <c r="D88" s="646">
        <f>+'Alimentazione SP P'!I57+'Alimentazione SP P'!I58</f>
        <v>0</v>
      </c>
      <c r="E88" s="646">
        <f>+'Alimentazione SP P'!J57+'Alimentazione SP P'!J58</f>
        <v>0</v>
      </c>
      <c r="F88" s="629"/>
      <c r="G88" s="647"/>
      <c r="J88" s="632"/>
      <c r="K88" s="631"/>
    </row>
    <row r="89" spans="1:11" s="648" customFormat="1" ht="24.95" customHeight="1">
      <c r="A89" s="643"/>
      <c r="B89" s="644" t="s">
        <v>3816</v>
      </c>
      <c r="C89" s="645" t="s">
        <v>3817</v>
      </c>
      <c r="D89" s="646">
        <f>+'Alimentazione SP P'!I59</f>
        <v>0</v>
      </c>
      <c r="E89" s="646">
        <f>+'Alimentazione SP P'!J59</f>
        <v>0</v>
      </c>
      <c r="F89" s="629"/>
      <c r="G89" s="647"/>
      <c r="J89" s="632"/>
      <c r="K89" s="631"/>
    </row>
    <row r="90" spans="1:11" s="648" customFormat="1" ht="24.95" customHeight="1">
      <c r="A90" s="643"/>
      <c r="B90" s="644" t="s">
        <v>3818</v>
      </c>
      <c r="C90" s="645" t="s">
        <v>3819</v>
      </c>
      <c r="D90" s="646">
        <f>+'Alimentazione SP P'!I60</f>
        <v>0</v>
      </c>
      <c r="E90" s="646">
        <f>+'Alimentazione SP P'!J60</f>
        <v>0</v>
      </c>
      <c r="F90" s="629"/>
      <c r="G90" s="647"/>
      <c r="J90" s="632"/>
      <c r="K90" s="631"/>
    </row>
    <row r="91" spans="1:11" s="648" customFormat="1" ht="24.95" customHeight="1">
      <c r="A91" s="643"/>
      <c r="B91" s="644" t="s">
        <v>3820</v>
      </c>
      <c r="C91" s="645" t="s">
        <v>3821</v>
      </c>
      <c r="D91" s="646">
        <f>+'Alimentazione SP P'!I61</f>
        <v>0</v>
      </c>
      <c r="E91" s="646">
        <f>+'Alimentazione SP P'!J61</f>
        <v>0</v>
      </c>
      <c r="F91" s="629"/>
      <c r="G91" s="647"/>
      <c r="J91" s="632"/>
      <c r="K91" s="631"/>
    </row>
    <row r="92" spans="1:11" s="648" customFormat="1" ht="24.95" customHeight="1">
      <c r="A92" s="643"/>
      <c r="B92" s="644" t="s">
        <v>3822</v>
      </c>
      <c r="C92" s="645" t="s">
        <v>3823</v>
      </c>
      <c r="D92" s="646">
        <f>+'Alimentazione SP P'!I62</f>
        <v>0</v>
      </c>
      <c r="E92" s="646">
        <f>+'Alimentazione SP P'!J62</f>
        <v>0</v>
      </c>
      <c r="F92" s="629"/>
      <c r="G92" s="647"/>
      <c r="J92" s="632"/>
      <c r="K92" s="631"/>
    </row>
    <row r="93" spans="1:11" s="648" customFormat="1" ht="24.95" customHeight="1">
      <c r="A93" s="643"/>
      <c r="B93" s="644" t="s">
        <v>3824</v>
      </c>
      <c r="C93" s="645" t="s">
        <v>3825</v>
      </c>
      <c r="D93" s="646">
        <f>+'Alimentazione SP P'!I63</f>
        <v>0</v>
      </c>
      <c r="E93" s="646">
        <f>+'Alimentazione SP P'!J63</f>
        <v>0</v>
      </c>
      <c r="F93" s="629"/>
      <c r="G93" s="647"/>
      <c r="J93" s="632"/>
      <c r="K93" s="631"/>
    </row>
    <row r="94" spans="1:11" s="648" customFormat="1" ht="24.95" customHeight="1" thickBot="1">
      <c r="A94" s="653"/>
      <c r="B94" s="654" t="s">
        <v>3826</v>
      </c>
      <c r="C94" s="655" t="s">
        <v>3827</v>
      </c>
      <c r="D94" s="646">
        <f>+'Alimentazione SP P'!I64</f>
        <v>0</v>
      </c>
      <c r="E94" s="646">
        <f>+'Alimentazione SP P'!J64</f>
        <v>0</v>
      </c>
      <c r="F94" s="629"/>
      <c r="G94" s="647"/>
      <c r="J94" s="632"/>
      <c r="K94" s="631"/>
    </row>
    <row r="95" spans="1:11" s="648" customFormat="1" ht="24.95" customHeight="1">
      <c r="A95" s="656"/>
      <c r="B95" s="657" t="s">
        <v>3828</v>
      </c>
      <c r="C95" s="658" t="s">
        <v>3829</v>
      </c>
      <c r="D95" s="659">
        <f>+D96+D101</f>
        <v>68464</v>
      </c>
      <c r="E95" s="659">
        <f>+E96+E101</f>
        <v>182095</v>
      </c>
      <c r="F95" s="629"/>
      <c r="G95" s="647"/>
      <c r="J95" s="632"/>
      <c r="K95" s="631"/>
    </row>
    <row r="96" spans="1:11" s="648" customFormat="1" ht="24.95" customHeight="1">
      <c r="A96" s="649"/>
      <c r="B96" s="639" t="s">
        <v>3830</v>
      </c>
      <c r="C96" s="640" t="s">
        <v>3831</v>
      </c>
      <c r="D96" s="641">
        <f>SUM(D97:D100)</f>
        <v>63464</v>
      </c>
      <c r="E96" s="641">
        <f>SUM(E97:E100)</f>
        <v>177095</v>
      </c>
      <c r="F96" s="629"/>
      <c r="G96" s="647"/>
      <c r="J96" s="632"/>
      <c r="K96" s="631"/>
    </row>
    <row r="97" spans="1:11" s="648" customFormat="1" ht="24.95" customHeight="1">
      <c r="A97" s="643"/>
      <c r="B97" s="644" t="s">
        <v>3832</v>
      </c>
      <c r="C97" s="645" t="s">
        <v>3833</v>
      </c>
      <c r="D97" s="646">
        <f>+'SP Attivo Alim'!I31-'Alimentazione SP P'!I66</f>
        <v>0</v>
      </c>
      <c r="E97" s="646">
        <f>+'SP Attivo Alim'!J31-'Alimentazione SP P'!J66</f>
        <v>0</v>
      </c>
      <c r="F97" s="629"/>
      <c r="G97" s="647"/>
      <c r="J97" s="632"/>
      <c r="K97" s="631"/>
    </row>
    <row r="98" spans="1:11" s="648" customFormat="1" ht="24.95" customHeight="1">
      <c r="A98" s="643"/>
      <c r="B98" s="644" t="s">
        <v>3834</v>
      </c>
      <c r="C98" s="645" t="s">
        <v>3835</v>
      </c>
      <c r="D98" s="646">
        <f>+'SP Attivo Alim'!I32-'Alimentazione SP P'!I67</f>
        <v>0</v>
      </c>
      <c r="E98" s="646">
        <f>+'SP Attivo Alim'!J32-'Alimentazione SP P'!J67</f>
        <v>0</v>
      </c>
      <c r="F98" s="629"/>
      <c r="G98" s="647"/>
      <c r="J98" s="632"/>
      <c r="K98" s="631"/>
    </row>
    <row r="99" spans="1:11" s="648" customFormat="1" ht="24.95" customHeight="1">
      <c r="A99" s="643"/>
      <c r="B99" s="644" t="s">
        <v>3836</v>
      </c>
      <c r="C99" s="645" t="s">
        <v>3837</v>
      </c>
      <c r="D99" s="646">
        <f>+'SP Attivo Alim'!I33-'Alimentazione SP P'!I68</f>
        <v>0</v>
      </c>
      <c r="E99" s="646">
        <f>+'SP Attivo Alim'!J33-'Alimentazione SP P'!J68</f>
        <v>0</v>
      </c>
      <c r="F99" s="629"/>
      <c r="G99" s="647"/>
      <c r="J99" s="632"/>
      <c r="K99" s="631"/>
    </row>
    <row r="100" spans="1:11" s="648" customFormat="1" ht="24.95" customHeight="1">
      <c r="A100" s="643"/>
      <c r="B100" s="644" t="s">
        <v>3838</v>
      </c>
      <c r="C100" s="645" t="s">
        <v>3839</v>
      </c>
      <c r="D100" s="646">
        <f>+'SP Attivo Alim'!I35+'SP Attivo Alim'!I36+'SP Attivo Alim'!I37-'Alimentazione SP P'!I69</f>
        <v>63464</v>
      </c>
      <c r="E100" s="646">
        <f>+'SP Attivo Alim'!J35+'SP Attivo Alim'!J36+'SP Attivo Alim'!J37-'Alimentazione SP P'!J69</f>
        <v>177095</v>
      </c>
      <c r="F100" s="629"/>
      <c r="G100" s="647"/>
      <c r="J100" s="632"/>
      <c r="K100" s="631"/>
    </row>
    <row r="101" spans="1:11" s="648" customFormat="1" ht="24.95" customHeight="1">
      <c r="A101" s="649"/>
      <c r="B101" s="639" t="s">
        <v>3840</v>
      </c>
      <c r="C101" s="640" t="s">
        <v>3841</v>
      </c>
      <c r="D101" s="641">
        <f>+D102+D103</f>
        <v>5000</v>
      </c>
      <c r="E101" s="641">
        <f>+E102+E103</f>
        <v>5000</v>
      </c>
      <c r="F101" s="629"/>
      <c r="G101" s="647"/>
      <c r="J101" s="632"/>
      <c r="K101" s="631"/>
    </row>
    <row r="102" spans="1:11" s="648" customFormat="1" ht="24.95" customHeight="1">
      <c r="A102" s="643"/>
      <c r="B102" s="644" t="s">
        <v>3842</v>
      </c>
      <c r="C102" s="645" t="s">
        <v>3843</v>
      </c>
      <c r="D102" s="646">
        <f>+'SP Attivo Alim'!I39</f>
        <v>5000</v>
      </c>
      <c r="E102" s="646">
        <f>+'SP Attivo Alim'!J39</f>
        <v>5000</v>
      </c>
      <c r="F102" s="629"/>
      <c r="G102" s="647"/>
      <c r="J102" s="632"/>
      <c r="K102" s="631"/>
    </row>
    <row r="103" spans="1:11" s="648" customFormat="1" ht="24.95" customHeight="1">
      <c r="A103" s="643"/>
      <c r="B103" s="644" t="s">
        <v>3844</v>
      </c>
      <c r="C103" s="645" t="s">
        <v>3845</v>
      </c>
      <c r="D103" s="646">
        <f>SUM(D104:D107)</f>
        <v>0</v>
      </c>
      <c r="E103" s="646">
        <f>SUM(E104:E107)</f>
        <v>0</v>
      </c>
      <c r="F103" s="629"/>
      <c r="G103" s="647"/>
      <c r="J103" s="632"/>
      <c r="K103" s="631"/>
    </row>
    <row r="104" spans="1:11" s="648" customFormat="1" ht="24.95" customHeight="1">
      <c r="A104" s="643"/>
      <c r="B104" s="644" t="s">
        <v>3846</v>
      </c>
      <c r="C104" s="645" t="s">
        <v>3847</v>
      </c>
      <c r="D104" s="646">
        <f>+'SP Attivo Alim'!I41</f>
        <v>0</v>
      </c>
      <c r="E104" s="646">
        <f>+'SP Attivo Alim'!J41</f>
        <v>0</v>
      </c>
      <c r="F104" s="629"/>
      <c r="G104" s="647"/>
      <c r="J104" s="632"/>
      <c r="K104" s="631"/>
    </row>
    <row r="105" spans="1:11" s="648" customFormat="1" ht="24.95" customHeight="1">
      <c r="A105" s="643"/>
      <c r="B105" s="644" t="s">
        <v>3848</v>
      </c>
      <c r="C105" s="645" t="s">
        <v>3849</v>
      </c>
      <c r="D105" s="646">
        <f>+'SP Attivo Alim'!I42</f>
        <v>0</v>
      </c>
      <c r="E105" s="646">
        <f>+'SP Attivo Alim'!J42</f>
        <v>0</v>
      </c>
      <c r="F105" s="629"/>
      <c r="G105" s="647"/>
      <c r="J105" s="632"/>
      <c r="K105" s="631"/>
    </row>
    <row r="106" spans="1:11" s="648" customFormat="1" ht="24.95" customHeight="1">
      <c r="A106" s="643"/>
      <c r="B106" s="644" t="s">
        <v>3850</v>
      </c>
      <c r="C106" s="645" t="s">
        <v>3851</v>
      </c>
      <c r="D106" s="646">
        <f>+'SP Attivo Alim'!I43</f>
        <v>0</v>
      </c>
      <c r="E106" s="646">
        <f>+'SP Attivo Alim'!J43</f>
        <v>0</v>
      </c>
      <c r="F106" s="629"/>
      <c r="G106" s="647"/>
      <c r="J106" s="632"/>
      <c r="K106" s="631"/>
    </row>
    <row r="107" spans="1:11" s="648" customFormat="1" ht="24.95" customHeight="1" thickBot="1">
      <c r="A107" s="653"/>
      <c r="B107" s="654" t="s">
        <v>3852</v>
      </c>
      <c r="C107" s="655" t="s">
        <v>3853</v>
      </c>
      <c r="D107" s="646">
        <f>+'SP Attivo Alim'!I44</f>
        <v>0</v>
      </c>
      <c r="E107" s="646">
        <f>+'SP Attivo Alim'!J44</f>
        <v>0</v>
      </c>
      <c r="F107" s="629"/>
      <c r="G107" s="647"/>
      <c r="J107" s="632"/>
      <c r="K107" s="631"/>
    </row>
    <row r="108" spans="1:11" s="648" customFormat="1" ht="24.95" customHeight="1">
      <c r="A108" s="625"/>
      <c r="B108" s="626" t="s">
        <v>3854</v>
      </c>
      <c r="C108" s="627" t="s">
        <v>3855</v>
      </c>
      <c r="D108" s="660">
        <f>+D109+D128+D192+D195</f>
        <v>67291035.450000003</v>
      </c>
      <c r="E108" s="660">
        <f>+E109+E128+E192+E195</f>
        <v>77455457</v>
      </c>
      <c r="F108" s="629"/>
      <c r="G108" s="647"/>
      <c r="J108" s="632"/>
      <c r="K108" s="631"/>
    </row>
    <row r="109" spans="1:11" s="648" customFormat="1" ht="24.95" customHeight="1">
      <c r="A109" s="633"/>
      <c r="B109" s="634" t="s">
        <v>3856</v>
      </c>
      <c r="C109" s="635" t="s">
        <v>3857</v>
      </c>
      <c r="D109" s="636">
        <f>+D110+D120</f>
        <v>943216.02</v>
      </c>
      <c r="E109" s="636">
        <f>+E110+E120</f>
        <v>1315657</v>
      </c>
      <c r="F109" s="629"/>
      <c r="G109" s="647"/>
      <c r="J109" s="632"/>
      <c r="K109" s="631"/>
    </row>
    <row r="110" spans="1:11" s="648" customFormat="1" ht="24.95" customHeight="1">
      <c r="A110" s="649"/>
      <c r="B110" s="639" t="s">
        <v>3858</v>
      </c>
      <c r="C110" s="640" t="s">
        <v>3859</v>
      </c>
      <c r="D110" s="641">
        <f>SUM(D111:D119)</f>
        <v>798692.84</v>
      </c>
      <c r="E110" s="641">
        <f>SUM(E111:E119)</f>
        <v>1178726</v>
      </c>
      <c r="F110" s="629"/>
      <c r="G110" s="647"/>
      <c r="J110" s="632"/>
      <c r="K110" s="631"/>
    </row>
    <row r="111" spans="1:11" s="648" customFormat="1" ht="24.95" customHeight="1">
      <c r="A111" s="643"/>
      <c r="B111" s="644" t="s">
        <v>3860</v>
      </c>
      <c r="C111" s="645" t="s">
        <v>3861</v>
      </c>
      <c r="D111" s="646">
        <f>+'SP Attivo Alim'!I48+'SP Attivo Alim'!I49+'SP Attivo Alim'!I50</f>
        <v>22485.16</v>
      </c>
      <c r="E111" s="646">
        <f>+'SP Attivo Alim'!J48+'SP Attivo Alim'!J49+'SP Attivo Alim'!J50</f>
        <v>18438</v>
      </c>
      <c r="F111" s="629"/>
      <c r="G111" s="647"/>
      <c r="J111" s="632"/>
      <c r="K111" s="631"/>
    </row>
    <row r="112" spans="1:11" s="648" customFormat="1" ht="24.95" customHeight="1">
      <c r="A112" s="643"/>
      <c r="B112" s="644" t="s">
        <v>3862</v>
      </c>
      <c r="C112" s="645" t="s">
        <v>3863</v>
      </c>
      <c r="D112" s="646">
        <f>+'SP Attivo Alim'!I51</f>
        <v>0</v>
      </c>
      <c r="E112" s="646">
        <f>+'SP Attivo Alim'!J51</f>
        <v>0</v>
      </c>
      <c r="F112" s="629"/>
      <c r="G112" s="647"/>
      <c r="J112" s="632"/>
      <c r="K112" s="631"/>
    </row>
    <row r="113" spans="1:11" s="648" customFormat="1" ht="24.95" customHeight="1">
      <c r="A113" s="643"/>
      <c r="B113" s="644" t="s">
        <v>3864</v>
      </c>
      <c r="C113" s="645" t="s">
        <v>3865</v>
      </c>
      <c r="D113" s="646">
        <f>+'SP Attivo Alim'!I53+'SP Attivo Alim'!I54+'SP Attivo Alim'!I55</f>
        <v>470408.14</v>
      </c>
      <c r="E113" s="646">
        <f>+'SP Attivo Alim'!J53+'SP Attivo Alim'!J54+'SP Attivo Alim'!J55</f>
        <v>843327</v>
      </c>
      <c r="F113" s="629"/>
      <c r="G113" s="647"/>
      <c r="J113" s="632"/>
      <c r="K113" s="631"/>
    </row>
    <row r="114" spans="1:11" s="648" customFormat="1" ht="24.95" customHeight="1">
      <c r="A114" s="643"/>
      <c r="B114" s="644" t="s">
        <v>3866</v>
      </c>
      <c r="C114" s="645" t="s">
        <v>3867</v>
      </c>
      <c r="D114" s="646">
        <f>+'SP Attivo Alim'!I56</f>
        <v>2273.6</v>
      </c>
      <c r="E114" s="646">
        <f>+'SP Attivo Alim'!J56</f>
        <v>1406</v>
      </c>
      <c r="F114" s="629"/>
      <c r="G114" s="647"/>
      <c r="J114" s="632"/>
      <c r="K114" s="631"/>
    </row>
    <row r="115" spans="1:11" s="648" customFormat="1" ht="24.95" customHeight="1">
      <c r="A115" s="643"/>
      <c r="B115" s="644" t="s">
        <v>3868</v>
      </c>
      <c r="C115" s="645" t="s">
        <v>3869</v>
      </c>
      <c r="D115" s="646">
        <f>+'SP Attivo Alim'!I57</f>
        <v>0</v>
      </c>
      <c r="E115" s="646">
        <f>+'SP Attivo Alim'!J57</f>
        <v>0</v>
      </c>
      <c r="F115" s="629"/>
      <c r="G115" s="647"/>
      <c r="J115" s="632"/>
      <c r="K115" s="631"/>
    </row>
    <row r="116" spans="1:11" s="648" customFormat="1" ht="24.95" customHeight="1">
      <c r="A116" s="643"/>
      <c r="B116" s="644" t="s">
        <v>3870</v>
      </c>
      <c r="C116" s="645" t="s">
        <v>3871</v>
      </c>
      <c r="D116" s="646">
        <f>+'SP Attivo Alim'!I58</f>
        <v>83742.539999999994</v>
      </c>
      <c r="E116" s="646">
        <f>+'SP Attivo Alim'!J58</f>
        <v>76457</v>
      </c>
      <c r="F116" s="629"/>
      <c r="G116" s="647"/>
      <c r="J116" s="632"/>
      <c r="K116" s="631"/>
    </row>
    <row r="117" spans="1:11" s="648" customFormat="1" ht="24.95" customHeight="1">
      <c r="A117" s="643"/>
      <c r="B117" s="644" t="s">
        <v>3872</v>
      </c>
      <c r="C117" s="645" t="s">
        <v>3873</v>
      </c>
      <c r="D117" s="646">
        <f>+'SP Attivo Alim'!I59</f>
        <v>0</v>
      </c>
      <c r="E117" s="646">
        <f>+'SP Attivo Alim'!J59</f>
        <v>0</v>
      </c>
      <c r="F117" s="629"/>
      <c r="G117" s="647"/>
      <c r="J117" s="632"/>
      <c r="K117" s="631"/>
    </row>
    <row r="118" spans="1:11" s="648" customFormat="1" ht="24.95" customHeight="1">
      <c r="A118" s="643"/>
      <c r="B118" s="644" t="s">
        <v>3874</v>
      </c>
      <c r="C118" s="645" t="s">
        <v>3875</v>
      </c>
      <c r="D118" s="646">
        <f>+'SP Attivo Alim'!I60</f>
        <v>219783.4</v>
      </c>
      <c r="E118" s="646">
        <f>+'SP Attivo Alim'!J60</f>
        <v>239098</v>
      </c>
      <c r="F118" s="629"/>
      <c r="G118" s="647"/>
      <c r="J118" s="632"/>
      <c r="K118" s="631"/>
    </row>
    <row r="119" spans="1:11" s="648" customFormat="1" ht="24.95" customHeight="1">
      <c r="A119" s="643"/>
      <c r="B119" s="644" t="s">
        <v>3876</v>
      </c>
      <c r="C119" s="645" t="s">
        <v>3877</v>
      </c>
      <c r="D119" s="646">
        <f>+'SP Attivo Alim'!I61</f>
        <v>0</v>
      </c>
      <c r="E119" s="646">
        <f>+'SP Attivo Alim'!J61</f>
        <v>0</v>
      </c>
      <c r="F119" s="629"/>
      <c r="G119" s="647"/>
      <c r="J119" s="632"/>
      <c r="K119" s="631"/>
    </row>
    <row r="120" spans="1:11" s="648" customFormat="1" ht="24.95" customHeight="1">
      <c r="A120" s="649"/>
      <c r="B120" s="639" t="s">
        <v>3878</v>
      </c>
      <c r="C120" s="640" t="s">
        <v>3879</v>
      </c>
      <c r="D120" s="641">
        <f>SUM(D121:D127)</f>
        <v>144523.18</v>
      </c>
      <c r="E120" s="641">
        <f>SUM(E121:E127)</f>
        <v>136931</v>
      </c>
      <c r="F120" s="629"/>
      <c r="G120" s="647"/>
      <c r="J120" s="632"/>
      <c r="K120" s="631"/>
    </row>
    <row r="121" spans="1:11" s="648" customFormat="1" ht="24.95" customHeight="1">
      <c r="A121" s="643"/>
      <c r="B121" s="644" t="s">
        <v>3880</v>
      </c>
      <c r="C121" s="645" t="s">
        <v>3881</v>
      </c>
      <c r="D121" s="646">
        <f>+'SP Attivo Alim'!I63</f>
        <v>92.9</v>
      </c>
      <c r="E121" s="646">
        <f>+'SP Attivo Alim'!J63</f>
        <v>93</v>
      </c>
      <c r="F121" s="629"/>
      <c r="G121" s="647"/>
      <c r="J121" s="632"/>
      <c r="K121" s="631"/>
    </row>
    <row r="122" spans="1:11" s="648" customFormat="1" ht="24.95" customHeight="1">
      <c r="A122" s="643"/>
      <c r="B122" s="644" t="s">
        <v>3882</v>
      </c>
      <c r="C122" s="645" t="s">
        <v>3883</v>
      </c>
      <c r="D122" s="646">
        <f>+'SP Attivo Alim'!I64</f>
        <v>5641.95</v>
      </c>
      <c r="E122" s="646">
        <f>+'SP Attivo Alim'!J64</f>
        <v>7921</v>
      </c>
      <c r="F122" s="629"/>
      <c r="G122" s="647"/>
      <c r="J122" s="632"/>
      <c r="K122" s="631"/>
    </row>
    <row r="123" spans="1:11" s="648" customFormat="1" ht="24.95" customHeight="1">
      <c r="A123" s="643"/>
      <c r="B123" s="644" t="s">
        <v>3884</v>
      </c>
      <c r="C123" s="645" t="s">
        <v>3885</v>
      </c>
      <c r="D123" s="646">
        <f>+'SP Attivo Alim'!I65</f>
        <v>0</v>
      </c>
      <c r="E123" s="646">
        <f>+'SP Attivo Alim'!J65</f>
        <v>0</v>
      </c>
      <c r="F123" s="629"/>
      <c r="G123" s="647"/>
      <c r="J123" s="632"/>
      <c r="K123" s="631"/>
    </row>
    <row r="124" spans="1:11" s="648" customFormat="1" ht="24.95" customHeight="1">
      <c r="A124" s="643"/>
      <c r="B124" s="644" t="s">
        <v>3886</v>
      </c>
      <c r="C124" s="645" t="s">
        <v>3887</v>
      </c>
      <c r="D124" s="646">
        <f>+'SP Attivo Alim'!I66</f>
        <v>100753.81</v>
      </c>
      <c r="E124" s="646">
        <f>+'SP Attivo Alim'!J66</f>
        <v>90433</v>
      </c>
      <c r="F124" s="629"/>
      <c r="G124" s="647"/>
      <c r="J124" s="632"/>
      <c r="K124" s="631"/>
    </row>
    <row r="125" spans="1:11" s="648" customFormat="1" ht="24.95" customHeight="1">
      <c r="A125" s="643"/>
      <c r="B125" s="644" t="s">
        <v>3888</v>
      </c>
      <c r="C125" s="645" t="s">
        <v>3889</v>
      </c>
      <c r="D125" s="646">
        <f>+'SP Attivo Alim'!I67</f>
        <v>8113.39</v>
      </c>
      <c r="E125" s="646">
        <f>+'SP Attivo Alim'!J67</f>
        <v>7486</v>
      </c>
      <c r="F125" s="629"/>
      <c r="G125" s="647"/>
      <c r="J125" s="632"/>
      <c r="K125" s="631"/>
    </row>
    <row r="126" spans="1:11" s="648" customFormat="1" ht="24.95" customHeight="1">
      <c r="A126" s="643"/>
      <c r="B126" s="644" t="s">
        <v>3890</v>
      </c>
      <c r="C126" s="645" t="s">
        <v>3891</v>
      </c>
      <c r="D126" s="646">
        <f>+'SP Attivo Alim'!I68</f>
        <v>29921.13</v>
      </c>
      <c r="E126" s="646">
        <f>+'SP Attivo Alim'!J68</f>
        <v>30998</v>
      </c>
      <c r="F126" s="629"/>
      <c r="G126" s="647"/>
      <c r="J126" s="632"/>
      <c r="K126" s="631"/>
    </row>
    <row r="127" spans="1:11" s="648" customFormat="1" ht="24.95" customHeight="1" thickBot="1">
      <c r="A127" s="653"/>
      <c r="B127" s="654" t="s">
        <v>3892</v>
      </c>
      <c r="C127" s="655" t="s">
        <v>3893</v>
      </c>
      <c r="D127" s="646">
        <f>+'SP Attivo Alim'!I69</f>
        <v>0</v>
      </c>
      <c r="E127" s="646">
        <f>+'SP Attivo Alim'!J69</f>
        <v>0</v>
      </c>
      <c r="F127" s="629"/>
      <c r="G127" s="647"/>
      <c r="J127" s="632"/>
      <c r="K127" s="631"/>
    </row>
    <row r="128" spans="1:11" s="648" customFormat="1" ht="24.95" customHeight="1">
      <c r="A128" s="656"/>
      <c r="B128" s="657" t="s">
        <v>3894</v>
      </c>
      <c r="C128" s="658" t="s">
        <v>3895</v>
      </c>
      <c r="D128" s="659">
        <f>+D129+D145+D166+D167+D176++D180+D181</f>
        <v>35677445.43</v>
      </c>
      <c r="E128" s="659">
        <f>+E129+E145+E166+E167+E176++E180+E181</f>
        <v>37299605</v>
      </c>
      <c r="F128" s="629"/>
      <c r="G128" s="647"/>
      <c r="J128" s="632"/>
      <c r="K128" s="631"/>
    </row>
    <row r="129" spans="1:11" s="648" customFormat="1" ht="24.95" customHeight="1">
      <c r="A129" s="649"/>
      <c r="B129" s="639" t="s">
        <v>3896</v>
      </c>
      <c r="C129" s="640" t="s">
        <v>3897</v>
      </c>
      <c r="D129" s="641">
        <f>SUM(D130:D139,D144)</f>
        <v>17572969</v>
      </c>
      <c r="E129" s="641">
        <f>SUM(E130:E139,E144)</f>
        <v>18387777</v>
      </c>
      <c r="F129" s="629"/>
      <c r="G129" s="647"/>
      <c r="J129" s="632"/>
      <c r="K129" s="631"/>
    </row>
    <row r="130" spans="1:11" s="251" customFormat="1" ht="24.95" customHeight="1">
      <c r="A130" s="661" t="s">
        <v>1578</v>
      </c>
      <c r="B130" s="662" t="s">
        <v>3898</v>
      </c>
      <c r="C130" s="663" t="s">
        <v>3899</v>
      </c>
      <c r="D130" s="646">
        <f>+'SP Attivo Alim'!I72-'Alimentazione SP P'!I70</f>
        <v>0</v>
      </c>
      <c r="E130" s="646">
        <f>+'SP Attivo Alim'!J72-'Alimentazione SP P'!J70</f>
        <v>0</v>
      </c>
      <c r="F130" s="637"/>
      <c r="G130" s="664"/>
      <c r="J130" s="632"/>
      <c r="K130" s="631"/>
    </row>
    <row r="131" spans="1:11" s="251" customFormat="1" ht="24.95" customHeight="1">
      <c r="A131" s="661" t="s">
        <v>1578</v>
      </c>
      <c r="B131" s="662" t="s">
        <v>3900</v>
      </c>
      <c r="C131" s="663" t="s">
        <v>3901</v>
      </c>
      <c r="D131" s="646">
        <f>+'SP Attivo Alim'!I73-'Alimentazione SP P'!I71</f>
        <v>0</v>
      </c>
      <c r="E131" s="646">
        <f>+'SP Attivo Alim'!J73-'Alimentazione SP P'!J71</f>
        <v>0</v>
      </c>
      <c r="F131" s="665"/>
      <c r="G131" s="666"/>
      <c r="J131" s="632"/>
      <c r="K131" s="631"/>
    </row>
    <row r="132" spans="1:11" s="251" customFormat="1" ht="24.95" customHeight="1">
      <c r="A132" s="661" t="s">
        <v>1574</v>
      </c>
      <c r="B132" s="662" t="s">
        <v>3902</v>
      </c>
      <c r="C132" s="663" t="s">
        <v>3903</v>
      </c>
      <c r="D132" s="646">
        <f>+'SP Attivo Alim'!I74-'Alimentazione SP P'!I72</f>
        <v>0</v>
      </c>
      <c r="E132" s="646">
        <f>+'SP Attivo Alim'!J74-'Alimentazione SP P'!J72</f>
        <v>0</v>
      </c>
      <c r="F132" s="665"/>
      <c r="G132" s="666"/>
      <c r="J132" s="632"/>
      <c r="K132" s="631"/>
    </row>
    <row r="133" spans="1:11" s="251" customFormat="1" ht="24.95" customHeight="1">
      <c r="A133" s="667"/>
      <c r="B133" s="662" t="s">
        <v>3904</v>
      </c>
      <c r="C133" s="663" t="s">
        <v>3905</v>
      </c>
      <c r="D133" s="646">
        <f>+'SP Attivo Alim'!I75-'Alimentazione SP P'!I73</f>
        <v>0</v>
      </c>
      <c r="E133" s="646">
        <f>+'SP Attivo Alim'!J75-'Alimentazione SP P'!J73</f>
        <v>0</v>
      </c>
      <c r="F133" s="665"/>
      <c r="G133" s="666"/>
      <c r="J133" s="632"/>
      <c r="K133" s="631"/>
    </row>
    <row r="134" spans="1:11" s="251" customFormat="1" ht="30" customHeight="1">
      <c r="A134" s="661" t="s">
        <v>1578</v>
      </c>
      <c r="B134" s="662" t="s">
        <v>3906</v>
      </c>
      <c r="C134" s="663" t="s">
        <v>3907</v>
      </c>
      <c r="D134" s="646">
        <f>+'SP Attivo Alim'!I76-'Alimentazione SP P'!I74</f>
        <v>0</v>
      </c>
      <c r="E134" s="646">
        <f>+'SP Attivo Alim'!J76-'Alimentazione SP P'!J74</f>
        <v>0</v>
      </c>
      <c r="F134" s="665"/>
      <c r="G134" s="666"/>
      <c r="J134" s="632"/>
      <c r="K134" s="631"/>
    </row>
    <row r="135" spans="1:11" s="251" customFormat="1" ht="24.95" customHeight="1">
      <c r="A135" s="661" t="s">
        <v>1578</v>
      </c>
      <c r="B135" s="662" t="s">
        <v>3908</v>
      </c>
      <c r="C135" s="663" t="s">
        <v>3909</v>
      </c>
      <c r="D135" s="646">
        <f>+'SP Attivo Alim'!I77-'Alimentazione SP P'!I75</f>
        <v>0</v>
      </c>
      <c r="E135" s="646">
        <f>+'SP Attivo Alim'!J77-'Alimentazione SP P'!J75</f>
        <v>0</v>
      </c>
      <c r="F135" s="665"/>
      <c r="G135" s="666"/>
      <c r="J135" s="632"/>
      <c r="K135" s="631"/>
    </row>
    <row r="136" spans="1:11" s="251" customFormat="1" ht="24.95" customHeight="1">
      <c r="A136" s="661" t="s">
        <v>1578</v>
      </c>
      <c r="B136" s="662" t="s">
        <v>3910</v>
      </c>
      <c r="C136" s="663" t="s">
        <v>3911</v>
      </c>
      <c r="D136" s="646">
        <f>+'SP Attivo Alim'!I79+'SP Attivo Alim'!I80+'SP Attivo Alim'!I81-'Alimentazione SP P'!I76</f>
        <v>209410</v>
      </c>
      <c r="E136" s="646">
        <f>+'SP Attivo Alim'!J79+'SP Attivo Alim'!J80+'SP Attivo Alim'!J81-'Alimentazione SP P'!J76</f>
        <v>774804</v>
      </c>
      <c r="F136" s="665"/>
      <c r="G136" s="666"/>
      <c r="J136" s="632"/>
      <c r="K136" s="631"/>
    </row>
    <row r="137" spans="1:11" s="665" customFormat="1" ht="24.95" customHeight="1">
      <c r="A137" s="661" t="s">
        <v>1578</v>
      </c>
      <c r="B137" s="662" t="s">
        <v>3912</v>
      </c>
      <c r="C137" s="663" t="s">
        <v>3913</v>
      </c>
      <c r="D137" s="646">
        <f>+'SP Attivo Alim'!I82-'Alimentazione SP P'!I77</f>
        <v>0</v>
      </c>
      <c r="E137" s="646">
        <f>+'SP Attivo Alim'!J82-'Alimentazione SP P'!J77</f>
        <v>0</v>
      </c>
      <c r="G137" s="664"/>
      <c r="J137" s="632"/>
      <c r="K137" s="631"/>
    </row>
    <row r="138" spans="1:11" s="251" customFormat="1" ht="24.95" customHeight="1">
      <c r="A138" s="661" t="s">
        <v>1578</v>
      </c>
      <c r="B138" s="662" t="s">
        <v>3914</v>
      </c>
      <c r="C138" s="663" t="s">
        <v>3915</v>
      </c>
      <c r="D138" s="646">
        <f>+'SP Attivo Alim'!I83-'Alimentazione SP P'!I78</f>
        <v>15901209.109999999</v>
      </c>
      <c r="E138" s="646">
        <f>+'SP Attivo Alim'!J83-'Alimentazione SP P'!J78</f>
        <v>15901209</v>
      </c>
      <c r="F138" s="637"/>
      <c r="G138" s="664"/>
      <c r="J138" s="632"/>
      <c r="K138" s="631"/>
    </row>
    <row r="139" spans="1:11" s="251" customFormat="1" ht="24.95" customHeight="1">
      <c r="A139" s="668"/>
      <c r="B139" s="669" t="s">
        <v>3916</v>
      </c>
      <c r="C139" s="670" t="s">
        <v>3917</v>
      </c>
      <c r="D139" s="671">
        <f>+D140+D141+D142+D143</f>
        <v>1461327.5899999999</v>
      </c>
      <c r="E139" s="671">
        <f>+E140+E141+E142+E143</f>
        <v>1709531</v>
      </c>
      <c r="F139" s="637"/>
      <c r="G139" s="664"/>
      <c r="J139" s="632"/>
      <c r="K139" s="631"/>
    </row>
    <row r="140" spans="1:11" s="251" customFormat="1" ht="24.95" customHeight="1">
      <c r="A140" s="661" t="s">
        <v>1578</v>
      </c>
      <c r="B140" s="662" t="s">
        <v>3918</v>
      </c>
      <c r="C140" s="663" t="s">
        <v>3919</v>
      </c>
      <c r="D140" s="646">
        <f>+'SP Attivo Alim'!I85-'Alimentazione SP P'!I79</f>
        <v>0</v>
      </c>
      <c r="E140" s="646">
        <f>+'SP Attivo Alim'!J85-'Alimentazione SP P'!J79</f>
        <v>0</v>
      </c>
      <c r="F140" s="637"/>
      <c r="G140" s="664"/>
      <c r="J140" s="632"/>
      <c r="K140" s="631"/>
    </row>
    <row r="141" spans="1:11" s="251" customFormat="1" ht="24.95" customHeight="1">
      <c r="A141" s="661" t="s">
        <v>1578</v>
      </c>
      <c r="B141" s="662" t="s">
        <v>3920</v>
      </c>
      <c r="C141" s="663" t="s">
        <v>3921</v>
      </c>
      <c r="D141" s="646">
        <f>+'SP Attivo Alim'!I86-'Alimentazione SP P'!I80</f>
        <v>796484.59</v>
      </c>
      <c r="E141" s="646">
        <f>+'SP Attivo Alim'!J86-'Alimentazione SP P'!J80</f>
        <v>1044688</v>
      </c>
      <c r="F141" s="637"/>
      <c r="G141" s="664"/>
      <c r="J141" s="632"/>
      <c r="K141" s="631"/>
    </row>
    <row r="142" spans="1:11" s="251" customFormat="1" ht="24.95" customHeight="1">
      <c r="A142" s="661" t="s">
        <v>1578</v>
      </c>
      <c r="B142" s="662" t="s">
        <v>3922</v>
      </c>
      <c r="C142" s="663" t="s">
        <v>3923</v>
      </c>
      <c r="D142" s="646">
        <f>+'SP Attivo Alim'!I88+'SP Attivo Alim'!I89+'SP Attivo Alim'!I90-'Alimentazione SP P'!I81</f>
        <v>0</v>
      </c>
      <c r="E142" s="646">
        <f>+'SP Attivo Alim'!J88+'SP Attivo Alim'!J89+'SP Attivo Alim'!J90-'Alimentazione SP P'!J81</f>
        <v>0</v>
      </c>
      <c r="F142" s="637"/>
      <c r="G142" s="664"/>
      <c r="J142" s="632"/>
      <c r="K142" s="631"/>
    </row>
    <row r="143" spans="1:11" s="251" customFormat="1" ht="24.95" customHeight="1">
      <c r="A143" s="661" t="s">
        <v>1578</v>
      </c>
      <c r="B143" s="662" t="s">
        <v>3924</v>
      </c>
      <c r="C143" s="663" t="s">
        <v>3925</v>
      </c>
      <c r="D143" s="646">
        <f>+'SP Attivo Alim'!I91-'Alimentazione SP P'!I82</f>
        <v>664843</v>
      </c>
      <c r="E143" s="646">
        <f>+'SP Attivo Alim'!J91-'Alimentazione SP P'!J82</f>
        <v>664843</v>
      </c>
      <c r="F143" s="637"/>
      <c r="G143" s="664"/>
      <c r="J143" s="632"/>
      <c r="K143" s="631"/>
    </row>
    <row r="144" spans="1:11" s="251" customFormat="1" ht="24.95" customHeight="1">
      <c r="A144" s="661"/>
      <c r="B144" s="662" t="s">
        <v>3926</v>
      </c>
      <c r="C144" s="663" t="s">
        <v>3927</v>
      </c>
      <c r="D144" s="646">
        <f>+'SP Attivo Alim'!I93+'SP Attivo Alim'!I94+'SP Attivo Alim'!I95-'Alimentazione SP P'!I83</f>
        <v>1022.3</v>
      </c>
      <c r="E144" s="646">
        <f>+'SP Attivo Alim'!J93+'SP Attivo Alim'!J94+'SP Attivo Alim'!J95-'Alimentazione SP P'!J83</f>
        <v>2233</v>
      </c>
      <c r="F144" s="637"/>
      <c r="G144" s="664"/>
      <c r="J144" s="632"/>
      <c r="K144" s="631"/>
    </row>
    <row r="145" spans="1:11" s="251" customFormat="1" ht="24.95" customHeight="1">
      <c r="A145" s="649"/>
      <c r="B145" s="639" t="s">
        <v>3928</v>
      </c>
      <c r="C145" s="640" t="s">
        <v>3929</v>
      </c>
      <c r="D145" s="641">
        <f>+D146+D157+D164+D165</f>
        <v>12324260.43</v>
      </c>
      <c r="E145" s="641">
        <f>+E146+E157+E164+E165</f>
        <v>8932695</v>
      </c>
      <c r="F145" s="637"/>
      <c r="G145" s="664"/>
      <c r="J145" s="632"/>
      <c r="K145" s="631"/>
    </row>
    <row r="146" spans="1:11" s="251" customFormat="1" ht="24.95" customHeight="1">
      <c r="A146" s="668"/>
      <c r="B146" s="669" t="s">
        <v>3930</v>
      </c>
      <c r="C146" s="670" t="s">
        <v>3931</v>
      </c>
      <c r="D146" s="671">
        <f>SUM(D147:D156)</f>
        <v>6646306.96</v>
      </c>
      <c r="E146" s="671">
        <f>SUM(E147:E156)</f>
        <v>1819819</v>
      </c>
      <c r="F146" s="637"/>
      <c r="G146" s="664"/>
      <c r="J146" s="632"/>
      <c r="K146" s="631"/>
    </row>
    <row r="147" spans="1:11" s="251" customFormat="1" ht="33.75" customHeight="1">
      <c r="A147" s="661" t="s">
        <v>3932</v>
      </c>
      <c r="B147" s="662" t="s">
        <v>3933</v>
      </c>
      <c r="C147" s="663" t="s">
        <v>3934</v>
      </c>
      <c r="D147" s="646">
        <f>+'SP Attivo Alim'!I98-'Alimentazione SP P'!I84</f>
        <v>0</v>
      </c>
      <c r="E147" s="646">
        <f>+'SP Attivo Alim'!J98-'Alimentazione SP P'!J84</f>
        <v>0</v>
      </c>
      <c r="F147" s="637"/>
      <c r="G147" s="664"/>
      <c r="J147" s="632"/>
      <c r="K147" s="631"/>
    </row>
    <row r="148" spans="1:11" s="251" customFormat="1" ht="33.75" customHeight="1">
      <c r="A148" s="661" t="s">
        <v>1529</v>
      </c>
      <c r="B148" s="662" t="s">
        <v>3935</v>
      </c>
      <c r="C148" s="663" t="s">
        <v>3936</v>
      </c>
      <c r="D148" s="646">
        <f>+'SP Attivo Alim'!I99-'Alimentazione SP P'!I85</f>
        <v>0</v>
      </c>
      <c r="E148" s="646">
        <f>+'SP Attivo Alim'!J99-'Alimentazione SP P'!J85</f>
        <v>0</v>
      </c>
      <c r="F148" s="637"/>
      <c r="G148" s="664"/>
      <c r="J148" s="632"/>
      <c r="K148" s="631"/>
    </row>
    <row r="149" spans="1:11" s="665" customFormat="1" ht="33.75" customHeight="1">
      <c r="A149" s="661" t="s">
        <v>3932</v>
      </c>
      <c r="B149" s="662" t="s">
        <v>3937</v>
      </c>
      <c r="C149" s="672" t="s">
        <v>3938</v>
      </c>
      <c r="D149" s="646">
        <f>+'SP Attivo Alim'!I100-'Alimentazione SP P'!I86</f>
        <v>5298815.8899999997</v>
      </c>
      <c r="E149" s="646">
        <f>+'SP Attivo Alim'!J100-'Alimentazione SP P'!J86</f>
        <v>787286</v>
      </c>
      <c r="F149" s="251"/>
      <c r="G149" s="664"/>
      <c r="J149" s="632"/>
      <c r="K149" s="631"/>
    </row>
    <row r="150" spans="1:11" s="251" customFormat="1" ht="33.75" customHeight="1">
      <c r="A150" s="661" t="s">
        <v>3932</v>
      </c>
      <c r="B150" s="662" t="s">
        <v>3939</v>
      </c>
      <c r="C150" s="663" t="s">
        <v>3940</v>
      </c>
      <c r="D150" s="646">
        <f>+'SP Attivo Alim'!I101-'Alimentazione SP P'!I87</f>
        <v>0</v>
      </c>
      <c r="E150" s="646">
        <f>+'SP Attivo Alim'!J101-'Alimentazione SP P'!J87</f>
        <v>0</v>
      </c>
      <c r="F150" s="665"/>
      <c r="G150" s="666"/>
      <c r="J150" s="632"/>
      <c r="K150" s="631"/>
    </row>
    <row r="151" spans="1:11" s="251" customFormat="1" ht="33.75" customHeight="1">
      <c r="A151" s="661" t="s">
        <v>3932</v>
      </c>
      <c r="B151" s="662" t="s">
        <v>3941</v>
      </c>
      <c r="C151" s="663" t="s">
        <v>3942</v>
      </c>
      <c r="D151" s="646">
        <f>+'SP Attivo Alim'!I102-'Alimentazione SP P'!I88</f>
        <v>0</v>
      </c>
      <c r="E151" s="646">
        <f>+'SP Attivo Alim'!J102-'Alimentazione SP P'!J88</f>
        <v>0</v>
      </c>
      <c r="F151" s="665"/>
      <c r="G151" s="666"/>
      <c r="J151" s="632"/>
      <c r="K151" s="631"/>
    </row>
    <row r="152" spans="1:11" s="251" customFormat="1" ht="33.75" customHeight="1">
      <c r="A152" s="661" t="s">
        <v>3932</v>
      </c>
      <c r="B152" s="662" t="s">
        <v>3943</v>
      </c>
      <c r="C152" s="663" t="s">
        <v>3944</v>
      </c>
      <c r="D152" s="646">
        <f>+'SP Attivo Alim'!I103-'Alimentazione SP P'!I89</f>
        <v>0</v>
      </c>
      <c r="E152" s="646">
        <f>+'SP Attivo Alim'!J103-'Alimentazione SP P'!J89</f>
        <v>0</v>
      </c>
      <c r="F152" s="665"/>
      <c r="G152" s="666"/>
      <c r="J152" s="632"/>
      <c r="K152" s="631"/>
    </row>
    <row r="153" spans="1:11" s="251" customFormat="1" ht="33.75" customHeight="1">
      <c r="A153" s="661" t="s">
        <v>3932</v>
      </c>
      <c r="B153" s="662" t="s">
        <v>3945</v>
      </c>
      <c r="C153" s="663" t="s">
        <v>3946</v>
      </c>
      <c r="D153" s="646">
        <f>+'SP Attivo Alim'!I105+'SP Attivo Alim'!I106+'SP Attivo Alim'!I107-'Alimentazione SP P'!I90</f>
        <v>593264.18999999994</v>
      </c>
      <c r="E153" s="646">
        <f>+'SP Attivo Alim'!J105+'SP Attivo Alim'!J106+'SP Attivo Alim'!J107-'Alimentazione SP P'!J90</f>
        <v>889145</v>
      </c>
      <c r="F153" s="665"/>
      <c r="G153" s="666"/>
      <c r="J153" s="632"/>
      <c r="K153" s="631"/>
    </row>
    <row r="154" spans="1:11" s="665" customFormat="1" ht="33.75" customHeight="1">
      <c r="A154" s="673" t="s">
        <v>3932</v>
      </c>
      <c r="B154" s="662" t="s">
        <v>3947</v>
      </c>
      <c r="C154" s="672" t="s">
        <v>3948</v>
      </c>
      <c r="D154" s="646">
        <f>+'SP Attivo Alim'!I108-'Alimentazione SP P'!I91</f>
        <v>0</v>
      </c>
      <c r="E154" s="646">
        <f>+'SP Attivo Alim'!J108-'Alimentazione SP P'!J91</f>
        <v>0</v>
      </c>
      <c r="G154" s="664"/>
      <c r="J154" s="632"/>
      <c r="K154" s="631"/>
    </row>
    <row r="155" spans="1:11" s="251" customFormat="1" ht="33.75" customHeight="1">
      <c r="A155" s="673" t="s">
        <v>3932</v>
      </c>
      <c r="B155" s="662" t="s">
        <v>3949</v>
      </c>
      <c r="C155" s="672" t="s">
        <v>3950</v>
      </c>
      <c r="D155" s="646">
        <f>+'SP Attivo Alim'!I110+'SP Attivo Alim'!I111+'SP Attivo Alim'!I112+'SP Attivo Alim'!I113-'Alimentazione SP P'!I92</f>
        <v>650475.28</v>
      </c>
      <c r="E155" s="646">
        <f>+'SP Attivo Alim'!J110+'SP Attivo Alim'!J111+'SP Attivo Alim'!J112+'SP Attivo Alim'!J113-'Alimentazione SP P'!J92</f>
        <v>143388</v>
      </c>
      <c r="F155" s="665"/>
      <c r="G155" s="666"/>
      <c r="J155" s="632"/>
      <c r="K155" s="631"/>
    </row>
    <row r="156" spans="1:11" s="665" customFormat="1" ht="33.75" customHeight="1">
      <c r="A156" s="673" t="s">
        <v>3932</v>
      </c>
      <c r="B156" s="662" t="s">
        <v>3951</v>
      </c>
      <c r="C156" s="672" t="s">
        <v>3952</v>
      </c>
      <c r="D156" s="646">
        <f>+'SP Attivo Alim'!I114-'Alimentazione SP P'!I93</f>
        <v>103751.6</v>
      </c>
      <c r="E156" s="646">
        <f>+'SP Attivo Alim'!J114-'Alimentazione SP P'!J93</f>
        <v>0</v>
      </c>
      <c r="G156" s="664"/>
      <c r="J156" s="632"/>
      <c r="K156" s="631"/>
    </row>
    <row r="157" spans="1:11" s="648" customFormat="1" ht="33.75" customHeight="1">
      <c r="A157" s="674"/>
      <c r="B157" s="669" t="s">
        <v>3953</v>
      </c>
      <c r="C157" s="675" t="s">
        <v>3954</v>
      </c>
      <c r="D157" s="671">
        <f>SUM(D158:D163)</f>
        <v>5677953.4699999997</v>
      </c>
      <c r="E157" s="671">
        <f>SUM(E158:E163)</f>
        <v>7112876</v>
      </c>
      <c r="F157" s="676"/>
      <c r="G157" s="677"/>
      <c r="J157" s="632"/>
      <c r="K157" s="631"/>
    </row>
    <row r="158" spans="1:11" s="648" customFormat="1" ht="33.75" customHeight="1">
      <c r="A158" s="678" t="s">
        <v>3932</v>
      </c>
      <c r="B158" s="644" t="s">
        <v>3955</v>
      </c>
      <c r="C158" s="679" t="s">
        <v>3956</v>
      </c>
      <c r="D158" s="646">
        <f>+'SP Attivo Alim'!I116-'Alimentazione SP P'!I94</f>
        <v>5677953.4699999997</v>
      </c>
      <c r="E158" s="646">
        <f>+'SP Attivo Alim'!J116-'Alimentazione SP P'!J94</f>
        <v>7112876</v>
      </c>
      <c r="F158" s="676"/>
      <c r="G158" s="677"/>
      <c r="J158" s="632"/>
      <c r="K158" s="631"/>
    </row>
    <row r="159" spans="1:11" s="648" customFormat="1" ht="33.75" customHeight="1">
      <c r="A159" s="678" t="s">
        <v>3932</v>
      </c>
      <c r="B159" s="644" t="s">
        <v>3957</v>
      </c>
      <c r="C159" s="645" t="s">
        <v>3958</v>
      </c>
      <c r="D159" s="646">
        <f>+'SP Attivo Alim'!I117-'Alimentazione SP P'!I95</f>
        <v>0</v>
      </c>
      <c r="E159" s="646">
        <f>+'SP Attivo Alim'!J117-'Alimentazione SP P'!J95</f>
        <v>0</v>
      </c>
      <c r="F159" s="676"/>
      <c r="G159" s="677"/>
      <c r="J159" s="632"/>
      <c r="K159" s="631"/>
    </row>
    <row r="160" spans="1:11" s="648" customFormat="1" ht="33.75" customHeight="1">
      <c r="A160" s="678" t="s">
        <v>3932</v>
      </c>
      <c r="B160" s="644" t="s">
        <v>3959</v>
      </c>
      <c r="C160" s="679" t="s">
        <v>3960</v>
      </c>
      <c r="D160" s="646">
        <f>+'SP Attivo Alim'!I118-'Alimentazione SP P'!I96</f>
        <v>0</v>
      </c>
      <c r="E160" s="646">
        <f>+'SP Attivo Alim'!J118-'Alimentazione SP P'!J96</f>
        <v>0</v>
      </c>
      <c r="F160" s="676"/>
      <c r="G160" s="677"/>
      <c r="J160" s="632"/>
      <c r="K160" s="631"/>
    </row>
    <row r="161" spans="1:11" s="648" customFormat="1" ht="33.75" customHeight="1">
      <c r="A161" s="673" t="s">
        <v>3932</v>
      </c>
      <c r="B161" s="662" t="s">
        <v>3961</v>
      </c>
      <c r="C161" s="672" t="s">
        <v>3962</v>
      </c>
      <c r="D161" s="646">
        <f>+'SP Attivo Alim'!I119</f>
        <v>0</v>
      </c>
      <c r="E161" s="646">
        <f>+'SP Attivo Alim'!J119</f>
        <v>0</v>
      </c>
      <c r="F161" s="676"/>
      <c r="G161" s="677"/>
      <c r="J161" s="632"/>
      <c r="K161" s="631"/>
    </row>
    <row r="162" spans="1:11" s="648" customFormat="1" ht="33.75" customHeight="1">
      <c r="A162" s="673" t="s">
        <v>3932</v>
      </c>
      <c r="B162" s="662" t="s">
        <v>3963</v>
      </c>
      <c r="C162" s="672" t="s">
        <v>3964</v>
      </c>
      <c r="D162" s="646">
        <f>+'SP Attivo Alim'!I120-'Alimentazione SP P'!I97</f>
        <v>0</v>
      </c>
      <c r="E162" s="646">
        <f>+'SP Attivo Alim'!J120-'Alimentazione SP P'!J97</f>
        <v>0</v>
      </c>
      <c r="F162" s="676"/>
      <c r="G162" s="677"/>
      <c r="J162" s="632"/>
      <c r="K162" s="631"/>
    </row>
    <row r="163" spans="1:11" s="648" customFormat="1" ht="33.75" customHeight="1">
      <c r="A163" s="673" t="s">
        <v>3932</v>
      </c>
      <c r="B163" s="662" t="s">
        <v>3965</v>
      </c>
      <c r="C163" s="672" t="s">
        <v>3966</v>
      </c>
      <c r="D163" s="646">
        <f>+'SP Attivo Alim'!I121-'Alimentazione SP P'!I98</f>
        <v>0</v>
      </c>
      <c r="E163" s="646">
        <f>+'SP Attivo Alim'!J121-'Alimentazione SP P'!J98</f>
        <v>0</v>
      </c>
      <c r="F163" s="676"/>
      <c r="G163" s="677"/>
      <c r="J163" s="632"/>
      <c r="K163" s="631"/>
    </row>
    <row r="164" spans="1:11" s="676" customFormat="1" ht="33.75" customHeight="1">
      <c r="A164" s="680"/>
      <c r="B164" s="644" t="s">
        <v>3967</v>
      </c>
      <c r="C164" s="679" t="s">
        <v>3968</v>
      </c>
      <c r="D164" s="646">
        <f>+'SP Attivo Alim'!I122</f>
        <v>0</v>
      </c>
      <c r="E164" s="646">
        <f>+'SP Attivo Alim'!J122</f>
        <v>0</v>
      </c>
      <c r="G164" s="647"/>
      <c r="J164" s="632"/>
      <c r="K164" s="631"/>
    </row>
    <row r="165" spans="1:11" s="676" customFormat="1" ht="33.75" customHeight="1">
      <c r="A165" s="680" t="s">
        <v>3932</v>
      </c>
      <c r="B165" s="644" t="s">
        <v>3969</v>
      </c>
      <c r="C165" s="679" t="s">
        <v>3970</v>
      </c>
      <c r="D165" s="646">
        <f>+'SP Attivo Alim'!I123</f>
        <v>0</v>
      </c>
      <c r="E165" s="646">
        <f>+'SP Attivo Alim'!J123</f>
        <v>0</v>
      </c>
      <c r="G165" s="647"/>
      <c r="J165" s="632"/>
      <c r="K165" s="631"/>
    </row>
    <row r="166" spans="1:11" s="648" customFormat="1" ht="24.95" customHeight="1">
      <c r="A166" s="643"/>
      <c r="B166" s="650" t="s">
        <v>3971</v>
      </c>
      <c r="C166" s="651" t="s">
        <v>3972</v>
      </c>
      <c r="D166" s="646">
        <f>+'SP Attivo Alim'!I125+'SP Attivo Alim'!I126+'SP Attivo Alim'!I127-'Alimentazione SP P'!I99</f>
        <v>0</v>
      </c>
      <c r="E166" s="646">
        <f>+'SP Attivo Alim'!J125+'SP Attivo Alim'!J126+'SP Attivo Alim'!J127-'Alimentazione SP P'!J99</f>
        <v>0</v>
      </c>
      <c r="F166" s="629"/>
      <c r="G166" s="647"/>
      <c r="J166" s="632"/>
      <c r="K166" s="631"/>
    </row>
    <row r="167" spans="1:11" s="648" customFormat="1" ht="24.95" customHeight="1">
      <c r="A167" s="681"/>
      <c r="B167" s="639" t="s">
        <v>3973</v>
      </c>
      <c r="C167" s="640" t="s">
        <v>3974</v>
      </c>
      <c r="D167" s="641">
        <f>+D168+D172+D173+D174+D175</f>
        <v>3484387.12</v>
      </c>
      <c r="E167" s="641">
        <f>+E168+E172+E173+E174+E175</f>
        <v>8441363</v>
      </c>
      <c r="F167" s="629"/>
      <c r="G167" s="647"/>
      <c r="J167" s="632"/>
      <c r="K167" s="631">
        <f>+'Alimentazione SP P'!I100</f>
        <v>128506.61</v>
      </c>
    </row>
    <row r="168" spans="1:11" s="648" customFormat="1" ht="24.95" customHeight="1">
      <c r="A168" s="668"/>
      <c r="B168" s="669" t="s">
        <v>3975</v>
      </c>
      <c r="C168" s="670" t="s">
        <v>3976</v>
      </c>
      <c r="D168" s="671">
        <f>+D169+D170+D171</f>
        <v>3000349.62</v>
      </c>
      <c r="E168" s="671">
        <f>+E169+E170+E171</f>
        <v>7918456</v>
      </c>
      <c r="F168" s="676"/>
      <c r="G168" s="677"/>
      <c r="J168" s="632"/>
      <c r="K168" s="631"/>
    </row>
    <row r="169" spans="1:11" s="648" customFormat="1" ht="24.95" customHeight="1">
      <c r="A169" s="643" t="s">
        <v>1529</v>
      </c>
      <c r="B169" s="644" t="s">
        <v>3977</v>
      </c>
      <c r="C169" s="645" t="s">
        <v>3978</v>
      </c>
      <c r="D169" s="646">
        <f>+'SP Attivo Alim'!I130</f>
        <v>446043</v>
      </c>
      <c r="E169" s="646">
        <f>+'SP Attivo Alim'!J130</f>
        <v>0</v>
      </c>
      <c r="F169" s="676"/>
      <c r="G169" s="677"/>
      <c r="J169" s="632"/>
      <c r="K169" s="631"/>
    </row>
    <row r="170" spans="1:11" s="648" customFormat="1" ht="24.95" customHeight="1">
      <c r="A170" s="661" t="s">
        <v>1529</v>
      </c>
      <c r="B170" s="662" t="s">
        <v>3979</v>
      </c>
      <c r="C170" s="663" t="s">
        <v>3980</v>
      </c>
      <c r="D170" s="646">
        <f>+'SP Attivo Alim'!I132+'SP Attivo Alim'!I133+'SP Attivo Alim'!I134</f>
        <v>817667.18</v>
      </c>
      <c r="E170" s="646">
        <f>+'SP Attivo Alim'!J132+'SP Attivo Alim'!J133+'SP Attivo Alim'!J134</f>
        <v>2781261</v>
      </c>
      <c r="F170" s="676"/>
      <c r="G170" s="677"/>
      <c r="J170" s="632"/>
      <c r="K170" s="631"/>
    </row>
    <row r="171" spans="1:11" s="648" customFormat="1" ht="24.95" customHeight="1">
      <c r="A171" s="661" t="s">
        <v>1529</v>
      </c>
      <c r="B171" s="662" t="s">
        <v>3981</v>
      </c>
      <c r="C171" s="663" t="s">
        <v>3982</v>
      </c>
      <c r="D171" s="646">
        <f>+'SP Attivo Alim'!I136+'SP Attivo Alim'!I137+'SP Attivo Alim'!I138</f>
        <v>1736639.44</v>
      </c>
      <c r="E171" s="646">
        <f>+'SP Attivo Alim'!J136+'SP Attivo Alim'!J137+'SP Attivo Alim'!J138</f>
        <v>5137195</v>
      </c>
      <c r="F171" s="676"/>
      <c r="G171" s="677"/>
      <c r="J171" s="632"/>
      <c r="K171" s="631"/>
    </row>
    <row r="172" spans="1:11" s="648" customFormat="1" ht="24.95" customHeight="1">
      <c r="A172" s="661" t="s">
        <v>3932</v>
      </c>
      <c r="B172" s="662" t="s">
        <v>3983</v>
      </c>
      <c r="C172" s="663" t="s">
        <v>3984</v>
      </c>
      <c r="D172" s="646">
        <f>+'SP Attivo Alim'!I139</f>
        <v>0</v>
      </c>
      <c r="E172" s="646">
        <f>+'SP Attivo Alim'!J139</f>
        <v>0</v>
      </c>
      <c r="F172" s="676"/>
      <c r="G172" s="677"/>
      <c r="J172" s="632"/>
      <c r="K172" s="631"/>
    </row>
    <row r="173" spans="1:11" s="648" customFormat="1" ht="26.25" customHeight="1">
      <c r="A173" s="661" t="s">
        <v>3932</v>
      </c>
      <c r="B173" s="662" t="s">
        <v>3985</v>
      </c>
      <c r="C173" s="663" t="s">
        <v>3986</v>
      </c>
      <c r="D173" s="646">
        <f>+'SP Attivo Alim'!I140</f>
        <v>0</v>
      </c>
      <c r="E173" s="646">
        <f>+'SP Attivo Alim'!J140</f>
        <v>0</v>
      </c>
      <c r="F173" s="676"/>
      <c r="G173" s="677"/>
      <c r="J173" s="632"/>
      <c r="K173" s="631"/>
    </row>
    <row r="174" spans="1:11" s="648" customFormat="1" ht="24.95" customHeight="1">
      <c r="A174" s="661" t="s">
        <v>1578</v>
      </c>
      <c r="B174" s="662" t="s">
        <v>3987</v>
      </c>
      <c r="C174" s="663" t="s">
        <v>3988</v>
      </c>
      <c r="D174" s="646">
        <f>+'SP Attivo Alim'!I142+'SP Attivo Alim'!I143+'SP Attivo Alim'!I144-'Alimentazione SP P'!I100</f>
        <v>484037.5</v>
      </c>
      <c r="E174" s="646">
        <f>+'SP Attivo Alim'!J142+'SP Attivo Alim'!J143+'SP Attivo Alim'!J144-'Alimentazione SP P'!J100</f>
        <v>522907</v>
      </c>
      <c r="F174" s="676"/>
      <c r="G174" s="677"/>
      <c r="J174" s="632"/>
      <c r="K174" s="631"/>
    </row>
    <row r="175" spans="1:11" s="648" customFormat="1" ht="24.95" customHeight="1">
      <c r="A175" s="673" t="s">
        <v>1529</v>
      </c>
      <c r="B175" s="662" t="s">
        <v>3989</v>
      </c>
      <c r="C175" s="116" t="s">
        <v>3990</v>
      </c>
      <c r="D175" s="646">
        <f>+'SP Attivo Alim'!I145</f>
        <v>0</v>
      </c>
      <c r="E175" s="646">
        <f>+'SP Attivo Alim'!J145</f>
        <v>0</v>
      </c>
      <c r="F175" s="676"/>
      <c r="G175" s="677"/>
      <c r="J175" s="632"/>
      <c r="K175" s="631"/>
    </row>
    <row r="176" spans="1:11" s="648" customFormat="1" ht="24.95" customHeight="1">
      <c r="A176" s="649"/>
      <c r="B176" s="639" t="s">
        <v>3991</v>
      </c>
      <c r="C176" s="640" t="s">
        <v>3992</v>
      </c>
      <c r="D176" s="641">
        <f>+D177+D178+D179</f>
        <v>0</v>
      </c>
      <c r="E176" s="641">
        <f>+E177+E178+E179</f>
        <v>0</v>
      </c>
      <c r="F176" s="629"/>
      <c r="G176" s="647"/>
      <c r="J176" s="632"/>
      <c r="K176" s="631"/>
    </row>
    <row r="177" spans="1:11" s="648" customFormat="1" ht="24.95" customHeight="1">
      <c r="A177" s="643"/>
      <c r="B177" s="644" t="s">
        <v>3993</v>
      </c>
      <c r="C177" s="645" t="s">
        <v>3994</v>
      </c>
      <c r="D177" s="646">
        <f>+'SP Attivo Alim'!I147-'Alimentazione SP P'!I101</f>
        <v>0</v>
      </c>
      <c r="E177" s="646">
        <f>+'SP Attivo Alim'!J147-'Alimentazione SP P'!J101</f>
        <v>0</v>
      </c>
      <c r="F177" s="629"/>
      <c r="G177" s="647"/>
      <c r="J177" s="632"/>
      <c r="K177" s="631"/>
    </row>
    <row r="178" spans="1:11" s="648" customFormat="1" ht="24.95" customHeight="1">
      <c r="A178" s="643"/>
      <c r="B178" s="644" t="s">
        <v>3995</v>
      </c>
      <c r="C178" s="645" t="s">
        <v>3996</v>
      </c>
      <c r="D178" s="646">
        <f>+'SP Attivo Alim'!I148-'Alimentazione SP P'!I102</f>
        <v>0</v>
      </c>
      <c r="E178" s="646">
        <f>+'SP Attivo Alim'!J148-'Alimentazione SP P'!J102</f>
        <v>0</v>
      </c>
      <c r="F178" s="629"/>
      <c r="G178" s="647"/>
      <c r="J178" s="632"/>
      <c r="K178" s="631"/>
    </row>
    <row r="179" spans="1:11" s="648" customFormat="1" ht="24.95" customHeight="1">
      <c r="A179" s="643"/>
      <c r="B179" s="644" t="s">
        <v>3997</v>
      </c>
      <c r="C179" s="645" t="s">
        <v>3998</v>
      </c>
      <c r="D179" s="646">
        <f>+'SP Attivo Alim'!I150+'SP Attivo Alim'!I151+'SP Attivo Alim'!I152-'Alimentazione SP P'!I103</f>
        <v>0</v>
      </c>
      <c r="E179" s="646">
        <f>+'SP Attivo Alim'!J150+'SP Attivo Alim'!J151+'SP Attivo Alim'!J152-'Alimentazione SP P'!J103</f>
        <v>0</v>
      </c>
      <c r="F179" s="629"/>
      <c r="G179" s="647"/>
      <c r="J179" s="632"/>
      <c r="K179" s="631"/>
    </row>
    <row r="180" spans="1:11" s="648" customFormat="1" ht="24.95" customHeight="1">
      <c r="A180" s="643"/>
      <c r="B180" s="650" t="s">
        <v>3999</v>
      </c>
      <c r="C180" s="651" t="s">
        <v>4000</v>
      </c>
      <c r="D180" s="646">
        <f>+'SP Attivo Alim'!I154+'SP Attivo Alim'!I155+'SP Attivo Alim'!I156+'SP Attivo Alim'!I157+'SP Attivo Alim'!I158+'SP Attivo Alim'!I159-'Alimentazione SP P'!I104</f>
        <v>0</v>
      </c>
      <c r="E180" s="646">
        <f>+'SP Attivo Alim'!J154+'SP Attivo Alim'!J155+'SP Attivo Alim'!J156+'SP Attivo Alim'!J157+'SP Attivo Alim'!J158+'SP Attivo Alim'!J159-'Alimentazione SP P'!J104</f>
        <v>0</v>
      </c>
      <c r="F180" s="629"/>
      <c r="G180" s="647"/>
      <c r="J180" s="632"/>
      <c r="K180" s="631"/>
    </row>
    <row r="181" spans="1:11" s="648" customFormat="1" ht="24.95" customHeight="1">
      <c r="A181" s="649"/>
      <c r="B181" s="639" t="s">
        <v>4001</v>
      </c>
      <c r="C181" s="640" t="s">
        <v>4002</v>
      </c>
      <c r="D181" s="641">
        <f>+D182+D183+D184+D185+D186+D189</f>
        <v>2295828.8800000004</v>
      </c>
      <c r="E181" s="641">
        <f>+E182+E183+E184+E185+E186+E189</f>
        <v>1537770</v>
      </c>
      <c r="F181" s="629"/>
      <c r="G181" s="647"/>
      <c r="J181" s="632"/>
      <c r="K181" s="631"/>
    </row>
    <row r="182" spans="1:11" s="648" customFormat="1" ht="24.95" customHeight="1">
      <c r="A182" s="643"/>
      <c r="B182" s="644" t="s">
        <v>4003</v>
      </c>
      <c r="C182" s="645" t="s">
        <v>4004</v>
      </c>
      <c r="D182" s="646">
        <f>+'SP Attivo Alim'!I162+'SP Attivo Alim'!I163+'SP Attivo Alim'!I164+'SP Attivo Alim'!I165+'SP Attivo Alim'!I166-'Alimentazione SP P'!I105</f>
        <v>1555775.4500000002</v>
      </c>
      <c r="E182" s="646">
        <f>+'SP Attivo Alim'!J162+'SP Attivo Alim'!J163+'SP Attivo Alim'!J164+'SP Attivo Alim'!J165+'SP Attivo Alim'!J166-'Alimentazione SP P'!J105</f>
        <v>999785</v>
      </c>
      <c r="F182" s="629"/>
      <c r="G182" s="647"/>
      <c r="J182" s="632"/>
      <c r="K182" s="631"/>
    </row>
    <row r="183" spans="1:11" s="648" customFormat="1" ht="24.95" customHeight="1">
      <c r="A183" s="643"/>
      <c r="B183" s="644" t="s">
        <v>4005</v>
      </c>
      <c r="C183" s="645" t="s">
        <v>4006</v>
      </c>
      <c r="D183" s="646">
        <f>+'SP Attivo Alim'!I167-'Alimentazione SP P'!I106</f>
        <v>0</v>
      </c>
      <c r="E183" s="646">
        <f>+'SP Attivo Alim'!J167-'Alimentazione SP P'!J106</f>
        <v>0</v>
      </c>
      <c r="F183" s="629"/>
      <c r="G183" s="647"/>
      <c r="J183" s="632"/>
      <c r="K183" s="631"/>
    </row>
    <row r="184" spans="1:11" s="648" customFormat="1" ht="24.95" customHeight="1">
      <c r="A184" s="643"/>
      <c r="B184" s="644" t="s">
        <v>4007</v>
      </c>
      <c r="C184" s="645" t="s">
        <v>4008</v>
      </c>
      <c r="D184" s="646">
        <f>+'SP Attivo Alim'!I169+'SP Attivo Alim'!I170+'SP Attivo Alim'!I171+'SP Attivo Alim'!I172-'Alimentazione SP P'!I107</f>
        <v>463551.05</v>
      </c>
      <c r="E184" s="646">
        <f>+'SP Attivo Alim'!J169+'SP Attivo Alim'!J170+'SP Attivo Alim'!J171+'SP Attivo Alim'!J172-'Alimentazione SP P'!J107</f>
        <v>343938</v>
      </c>
      <c r="F184" s="629"/>
      <c r="G184" s="647"/>
      <c r="J184" s="632"/>
      <c r="K184" s="631"/>
    </row>
    <row r="185" spans="1:11" s="648" customFormat="1" ht="24.95" customHeight="1">
      <c r="A185" s="643"/>
      <c r="B185" s="644" t="s">
        <v>4009</v>
      </c>
      <c r="C185" s="645" t="s">
        <v>4010</v>
      </c>
      <c r="D185" s="646">
        <f>+'SP Attivo Alim'!I173-'Alimentazione SP P'!I108</f>
        <v>0</v>
      </c>
      <c r="E185" s="646">
        <f>+'SP Attivo Alim'!J173-'Alimentazione SP P'!J108</f>
        <v>0</v>
      </c>
      <c r="F185" s="629"/>
      <c r="G185" s="647"/>
      <c r="J185" s="632"/>
      <c r="K185" s="631"/>
    </row>
    <row r="186" spans="1:11" s="648" customFormat="1" ht="24.95" customHeight="1">
      <c r="A186" s="668"/>
      <c r="B186" s="669" t="s">
        <v>4011</v>
      </c>
      <c r="C186" s="670" t="s">
        <v>4012</v>
      </c>
      <c r="D186" s="671">
        <f>+D187+D188</f>
        <v>276502.38</v>
      </c>
      <c r="E186" s="671">
        <f>+E187+E188</f>
        <v>194047</v>
      </c>
      <c r="F186" s="629"/>
      <c r="G186" s="647"/>
      <c r="J186" s="632"/>
      <c r="K186" s="631"/>
    </row>
    <row r="187" spans="1:11" s="648" customFormat="1" ht="24.95" customHeight="1">
      <c r="A187" s="652"/>
      <c r="B187" s="682" t="s">
        <v>4013</v>
      </c>
      <c r="C187" s="683" t="s">
        <v>4014</v>
      </c>
      <c r="D187" s="646">
        <f>+'SP Attivo Alim'!I177+'SP Attivo Alim'!I178+'SP Attivo Alim'!I179+'SP Attivo Alim'!I180+'SP Attivo Alim'!I181+'SP Attivo Alim'!I182-'Alimentazione SP P'!I109</f>
        <v>276502.38</v>
      </c>
      <c r="E187" s="646">
        <f>+'SP Attivo Alim'!J177+'SP Attivo Alim'!J178+'SP Attivo Alim'!J179+'SP Attivo Alim'!J180+'SP Attivo Alim'!J181+'SP Attivo Alim'!J182-'Alimentazione SP P'!J109</f>
        <v>194047</v>
      </c>
      <c r="F187" s="629"/>
      <c r="G187" s="647"/>
      <c r="J187" s="632"/>
      <c r="K187" s="631"/>
    </row>
    <row r="188" spans="1:11" s="648" customFormat="1" ht="24.95" customHeight="1">
      <c r="A188" s="643"/>
      <c r="B188" s="684" t="s">
        <v>4015</v>
      </c>
      <c r="C188" s="685" t="s">
        <v>4016</v>
      </c>
      <c r="D188" s="646">
        <f>+'SP Attivo Alim'!I183</f>
        <v>0</v>
      </c>
      <c r="E188" s="646">
        <f>+'SP Attivo Alim'!J183</f>
        <v>0</v>
      </c>
      <c r="F188" s="629"/>
      <c r="G188" s="647"/>
      <c r="J188" s="632"/>
      <c r="K188" s="631"/>
    </row>
    <row r="189" spans="1:11" s="648" customFormat="1" ht="24.95" customHeight="1">
      <c r="A189" s="668"/>
      <c r="B189" s="686" t="s">
        <v>4017</v>
      </c>
      <c r="C189" s="687" t="s">
        <v>4018</v>
      </c>
      <c r="D189" s="671">
        <f>+D190+D191</f>
        <v>0</v>
      </c>
      <c r="E189" s="671">
        <f>+E190+E191</f>
        <v>0</v>
      </c>
      <c r="F189" s="629"/>
      <c r="G189" s="647"/>
      <c r="J189" s="632"/>
      <c r="K189" s="631"/>
    </row>
    <row r="190" spans="1:11" s="648" customFormat="1" ht="24.95" customHeight="1">
      <c r="A190" s="652"/>
      <c r="B190" s="682" t="s">
        <v>4019</v>
      </c>
      <c r="C190" s="685" t="s">
        <v>4020</v>
      </c>
      <c r="D190" s="646">
        <f>+'SP Attivo Alim'!I185-'Alimentazione SP P'!I110</f>
        <v>0</v>
      </c>
      <c r="E190" s="646">
        <f>+'SP Attivo Alim'!J185-'Alimentazione SP P'!J110</f>
        <v>0</v>
      </c>
      <c r="F190" s="629"/>
      <c r="G190" s="647"/>
      <c r="J190" s="632"/>
      <c r="K190" s="631"/>
    </row>
    <row r="191" spans="1:11" s="648" customFormat="1" ht="24.95" customHeight="1">
      <c r="A191" s="643"/>
      <c r="B191" s="682" t="s">
        <v>4021</v>
      </c>
      <c r="C191" s="685" t="s">
        <v>4022</v>
      </c>
      <c r="D191" s="646">
        <f>+'SP Attivo Alim'!I186</f>
        <v>0</v>
      </c>
      <c r="E191" s="646">
        <f>+'SP Attivo Alim'!J186</f>
        <v>0</v>
      </c>
      <c r="F191" s="629"/>
      <c r="G191" s="647"/>
      <c r="J191" s="632"/>
      <c r="K191" s="631"/>
    </row>
    <row r="192" spans="1:11" s="648" customFormat="1" ht="24.95" customHeight="1">
      <c r="A192" s="656"/>
      <c r="B192" s="688" t="s">
        <v>4023</v>
      </c>
      <c r="C192" s="689" t="s">
        <v>4024</v>
      </c>
      <c r="D192" s="690">
        <f>+D193+D194</f>
        <v>0</v>
      </c>
      <c r="E192" s="690">
        <f>+E193+E194</f>
        <v>0</v>
      </c>
      <c r="F192" s="629"/>
      <c r="G192" s="647"/>
      <c r="J192" s="632"/>
      <c r="K192" s="631"/>
    </row>
    <row r="193" spans="1:11" s="648" customFormat="1" ht="24.95" customHeight="1">
      <c r="A193" s="643"/>
      <c r="B193" s="650" t="s">
        <v>4025</v>
      </c>
      <c r="C193" s="651" t="s">
        <v>4026</v>
      </c>
      <c r="D193" s="646">
        <f>+'SP Attivo Alim'!I189+'SP Attivo Alim'!I190+'SP Attivo Alim'!I191</f>
        <v>0</v>
      </c>
      <c r="E193" s="646">
        <f>+'SP Attivo Alim'!J189+'SP Attivo Alim'!J190+'SP Attivo Alim'!J191</f>
        <v>0</v>
      </c>
      <c r="F193" s="629"/>
      <c r="G193" s="647"/>
      <c r="J193" s="632"/>
      <c r="K193" s="631"/>
    </row>
    <row r="194" spans="1:11" s="648" customFormat="1" ht="24.95" customHeight="1" thickBot="1">
      <c r="A194" s="653"/>
      <c r="B194" s="691" t="s">
        <v>4027</v>
      </c>
      <c r="C194" s="692" t="s">
        <v>4028</v>
      </c>
      <c r="D194" s="646">
        <f>+'SP Attivo Alim'!I192</f>
        <v>0</v>
      </c>
      <c r="E194" s="646">
        <f>+'SP Attivo Alim'!J192</f>
        <v>0</v>
      </c>
      <c r="F194" s="629"/>
      <c r="G194" s="647"/>
      <c r="J194" s="632"/>
      <c r="K194" s="631"/>
    </row>
    <row r="195" spans="1:11" s="648" customFormat="1" ht="24.95" customHeight="1">
      <c r="A195" s="656"/>
      <c r="B195" s="657" t="s">
        <v>4029</v>
      </c>
      <c r="C195" s="658" t="s">
        <v>4030</v>
      </c>
      <c r="D195" s="659">
        <f>+D196+D197+D198+D199</f>
        <v>30670373.999999996</v>
      </c>
      <c r="E195" s="659">
        <f>+E196+E197+E198+E199</f>
        <v>38840195</v>
      </c>
      <c r="F195" s="629"/>
      <c r="G195" s="647"/>
      <c r="J195" s="632"/>
      <c r="K195" s="631"/>
    </row>
    <row r="196" spans="1:11" s="648" customFormat="1" ht="24.95" customHeight="1">
      <c r="A196" s="643"/>
      <c r="B196" s="650" t="s">
        <v>4031</v>
      </c>
      <c r="C196" s="651" t="s">
        <v>4032</v>
      </c>
      <c r="D196" s="646">
        <f>+SUM('SP Attivo Alim'!I196:I213)</f>
        <v>42586.15</v>
      </c>
      <c r="E196" s="646">
        <f>+SUM('SP Attivo Alim'!J196:J213)</f>
        <v>44851</v>
      </c>
      <c r="F196" s="629"/>
      <c r="G196" s="647"/>
      <c r="J196" s="632"/>
      <c r="K196" s="631"/>
    </row>
    <row r="197" spans="1:11" s="648" customFormat="1" ht="24.95" customHeight="1">
      <c r="A197" s="643"/>
      <c r="B197" s="650" t="s">
        <v>4033</v>
      </c>
      <c r="C197" s="651" t="s">
        <v>4034</v>
      </c>
      <c r="D197" s="646">
        <f>+'SP Attivo Alim'!I215+'SP Attivo Alim'!I216+'SP Attivo Alim'!I217</f>
        <v>30625663.469999999</v>
      </c>
      <c r="E197" s="646">
        <f>+'SP Attivo Alim'!J215+'SP Attivo Alim'!J216+'SP Attivo Alim'!J217</f>
        <v>38793885</v>
      </c>
      <c r="F197" s="629"/>
      <c r="G197" s="647"/>
      <c r="J197" s="632"/>
      <c r="K197" s="631"/>
    </row>
    <row r="198" spans="1:11" s="648" customFormat="1" ht="24.95" customHeight="1">
      <c r="A198" s="643"/>
      <c r="B198" s="650" t="s">
        <v>4035</v>
      </c>
      <c r="C198" s="651" t="s">
        <v>4036</v>
      </c>
      <c r="D198" s="646">
        <f>+'SP Attivo Alim'!I218</f>
        <v>0</v>
      </c>
      <c r="E198" s="646">
        <f>+'SP Attivo Alim'!J218</f>
        <v>0</v>
      </c>
      <c r="F198" s="629"/>
      <c r="G198" s="647"/>
      <c r="J198" s="632"/>
      <c r="K198" s="631"/>
    </row>
    <row r="199" spans="1:11" s="648" customFormat="1" ht="24.95" customHeight="1" thickBot="1">
      <c r="A199" s="653"/>
      <c r="B199" s="691" t="s">
        <v>4037</v>
      </c>
      <c r="C199" s="692" t="s">
        <v>4038</v>
      </c>
      <c r="D199" s="646">
        <f>+SUM('SP Attivo Alim'!I220:I226)</f>
        <v>2124.38</v>
      </c>
      <c r="E199" s="646">
        <f>+SUM('SP Attivo Alim'!J220:J226)</f>
        <v>1459</v>
      </c>
      <c r="F199" s="629"/>
      <c r="G199" s="647"/>
      <c r="J199" s="632"/>
      <c r="K199" s="631"/>
    </row>
    <row r="200" spans="1:11" s="648" customFormat="1" ht="24.95" customHeight="1">
      <c r="A200" s="625"/>
      <c r="B200" s="626" t="s">
        <v>4039</v>
      </c>
      <c r="C200" s="627" t="s">
        <v>4040</v>
      </c>
      <c r="D200" s="660">
        <f>+D201+D204</f>
        <v>68344.89</v>
      </c>
      <c r="E200" s="660">
        <f>+E201+E204</f>
        <v>47172</v>
      </c>
      <c r="F200" s="629"/>
      <c r="G200" s="647"/>
      <c r="J200" s="632"/>
      <c r="K200" s="631"/>
    </row>
    <row r="201" spans="1:11" s="648" customFormat="1" ht="24.95" customHeight="1">
      <c r="A201" s="633"/>
      <c r="B201" s="634" t="s">
        <v>4041</v>
      </c>
      <c r="C201" s="635" t="s">
        <v>4042</v>
      </c>
      <c r="D201" s="636">
        <f>+D202+D203</f>
        <v>58752.46</v>
      </c>
      <c r="E201" s="636">
        <f>+E202+E203</f>
        <v>19280</v>
      </c>
      <c r="F201" s="629"/>
      <c r="G201" s="647"/>
      <c r="J201" s="632"/>
      <c r="K201" s="631"/>
    </row>
    <row r="202" spans="1:11" s="648" customFormat="1" ht="24.95" customHeight="1">
      <c r="A202" s="643"/>
      <c r="B202" s="650" t="s">
        <v>4043</v>
      </c>
      <c r="C202" s="651" t="s">
        <v>4044</v>
      </c>
      <c r="D202" s="646">
        <f>+'SP Attivo Alim'!I242</f>
        <v>0</v>
      </c>
      <c r="E202" s="646">
        <f>+'SP Attivo Alim'!J242</f>
        <v>0</v>
      </c>
      <c r="F202" s="629"/>
      <c r="G202" s="647"/>
      <c r="J202" s="632"/>
      <c r="K202" s="631"/>
    </row>
    <row r="203" spans="1:11" s="648" customFormat="1" ht="24.95" customHeight="1">
      <c r="A203" s="693" t="s">
        <v>1529</v>
      </c>
      <c r="B203" s="650" t="s">
        <v>4045</v>
      </c>
      <c r="C203" s="651" t="s">
        <v>4046</v>
      </c>
      <c r="D203" s="646">
        <f>+'SP Attivo Alim'!I243</f>
        <v>58752.46</v>
      </c>
      <c r="E203" s="646">
        <f>+'SP Attivo Alim'!J243</f>
        <v>19280</v>
      </c>
      <c r="F203" s="629"/>
      <c r="G203" s="647"/>
      <c r="J203" s="632"/>
      <c r="K203" s="631"/>
    </row>
    <row r="204" spans="1:11" s="648" customFormat="1" ht="24.95" customHeight="1">
      <c r="A204" s="633"/>
      <c r="B204" s="634" t="s">
        <v>4047</v>
      </c>
      <c r="C204" s="635" t="s">
        <v>4048</v>
      </c>
      <c r="D204" s="636">
        <f>+D205+D206</f>
        <v>9592.43</v>
      </c>
      <c r="E204" s="636">
        <f>+E205+E206</f>
        <v>27892</v>
      </c>
      <c r="F204" s="629"/>
      <c r="G204" s="647"/>
      <c r="J204" s="632"/>
      <c r="K204" s="631"/>
    </row>
    <row r="205" spans="1:11" s="648" customFormat="1" ht="24.95" customHeight="1">
      <c r="A205" s="643"/>
      <c r="B205" s="650" t="s">
        <v>4049</v>
      </c>
      <c r="C205" s="651" t="s">
        <v>4050</v>
      </c>
      <c r="D205" s="646">
        <f>+'SP Attivo Alim'!I245</f>
        <v>9592.43</v>
      </c>
      <c r="E205" s="646">
        <f>+'SP Attivo Alim'!J245</f>
        <v>27892</v>
      </c>
      <c r="F205" s="629"/>
      <c r="G205" s="647"/>
      <c r="J205" s="632"/>
      <c r="K205" s="631"/>
    </row>
    <row r="206" spans="1:11" s="648" customFormat="1" ht="24.95" customHeight="1" thickBot="1">
      <c r="A206" s="694" t="s">
        <v>1529</v>
      </c>
      <c r="B206" s="691" t="s">
        <v>4051</v>
      </c>
      <c r="C206" s="692" t="s">
        <v>4052</v>
      </c>
      <c r="D206" s="646">
        <f>+'SP Attivo Alim'!I246</f>
        <v>0</v>
      </c>
      <c r="E206" s="646">
        <f>+'SP Attivo Alim'!J246</f>
        <v>0</v>
      </c>
      <c r="F206" s="629"/>
      <c r="G206" s="647"/>
      <c r="J206" s="632"/>
      <c r="K206" s="631"/>
    </row>
    <row r="207" spans="1:11" s="648" customFormat="1" ht="24.95" customHeight="1" thickBot="1">
      <c r="A207" s="695"/>
      <c r="B207" s="696" t="s">
        <v>4053</v>
      </c>
      <c r="C207" s="697" t="s">
        <v>4054</v>
      </c>
      <c r="D207" s="698">
        <f>+D30+D108+D200</f>
        <v>103726944.69</v>
      </c>
      <c r="E207" s="698">
        <f>+E30+E108+E200</f>
        <v>113602319</v>
      </c>
      <c r="F207" s="629"/>
      <c r="G207" s="647"/>
      <c r="J207" s="632"/>
      <c r="K207" s="631"/>
    </row>
    <row r="208" spans="1:11" s="648" customFormat="1" ht="24.95" customHeight="1">
      <c r="A208" s="699"/>
      <c r="B208" s="626" t="s">
        <v>4055</v>
      </c>
      <c r="C208" s="700" t="s">
        <v>4056</v>
      </c>
      <c r="D208" s="701">
        <f>+D209+D210+D211+D212+D213</f>
        <v>2762644.45</v>
      </c>
      <c r="E208" s="701">
        <f>+E209+E210+E211+E212+E213</f>
        <v>2806963</v>
      </c>
      <c r="F208" s="629"/>
      <c r="G208" s="647"/>
      <c r="J208" s="632"/>
      <c r="K208" s="631"/>
    </row>
    <row r="209" spans="1:11" s="648" customFormat="1" ht="24.95" customHeight="1">
      <c r="A209" s="643"/>
      <c r="B209" s="702" t="s">
        <v>4057</v>
      </c>
      <c r="C209" s="703" t="s">
        <v>4058</v>
      </c>
      <c r="D209" s="646">
        <f>+'SP Attivo Alim'!I249</f>
        <v>22159.96</v>
      </c>
      <c r="E209" s="646">
        <f>+'SP Attivo Alim'!J249</f>
        <v>66479</v>
      </c>
      <c r="F209" s="629"/>
      <c r="G209" s="647"/>
      <c r="J209" s="632"/>
      <c r="K209" s="631"/>
    </row>
    <row r="210" spans="1:11" s="648" customFormat="1" ht="24.95" customHeight="1">
      <c r="A210" s="643"/>
      <c r="B210" s="702" t="s">
        <v>4059</v>
      </c>
      <c r="C210" s="703" t="s">
        <v>4060</v>
      </c>
      <c r="D210" s="646">
        <f>+'SP Attivo Alim'!I250</f>
        <v>0</v>
      </c>
      <c r="E210" s="646">
        <f>+'SP Attivo Alim'!J250</f>
        <v>0</v>
      </c>
      <c r="F210" s="629"/>
      <c r="G210" s="647"/>
      <c r="J210" s="632"/>
      <c r="K210" s="631"/>
    </row>
    <row r="211" spans="1:11" s="648" customFormat="1" ht="24.95" customHeight="1">
      <c r="A211" s="643"/>
      <c r="B211" s="702" t="s">
        <v>4061</v>
      </c>
      <c r="C211" s="703" t="s">
        <v>4062</v>
      </c>
      <c r="D211" s="646">
        <f>+'SP Attivo Alim'!I251</f>
        <v>1463350.4</v>
      </c>
      <c r="E211" s="646">
        <f>+'SP Attivo Alim'!J251</f>
        <v>1463350</v>
      </c>
      <c r="F211" s="629"/>
      <c r="G211" s="647"/>
      <c r="J211" s="632"/>
      <c r="K211" s="631"/>
    </row>
    <row r="212" spans="1:11" s="648" customFormat="1" ht="24.95" customHeight="1">
      <c r="A212" s="704"/>
      <c r="B212" s="702" t="s">
        <v>4063</v>
      </c>
      <c r="C212" s="703" t="s">
        <v>4064</v>
      </c>
      <c r="D212" s="646">
        <f>+'SP Attivo Alim'!I252</f>
        <v>0</v>
      </c>
      <c r="E212" s="646">
        <f>+'SP Attivo Alim'!J252</f>
        <v>0</v>
      </c>
      <c r="F212" s="629"/>
      <c r="G212" s="647"/>
      <c r="J212" s="632"/>
      <c r="K212" s="631"/>
    </row>
    <row r="213" spans="1:11" s="648" customFormat="1" ht="24.95" customHeight="1" thickBot="1">
      <c r="A213" s="653"/>
      <c r="B213" s="705" t="s">
        <v>4065</v>
      </c>
      <c r="C213" s="706" t="s">
        <v>4066</v>
      </c>
      <c r="D213" s="646">
        <f>+'SP Attivo Alim'!I254+'SP Attivo Alim'!I255+'SP Attivo Alim'!I256+'SP Attivo Alim'!I257+'SP Attivo Alim'!I258+'SP Attivo Alim'!I259+'SP Attivo Alim'!I260</f>
        <v>1277134.0900000001</v>
      </c>
      <c r="E213" s="646">
        <f>+'SP Attivo Alim'!J254+'SP Attivo Alim'!J255+'SP Attivo Alim'!J256+'SP Attivo Alim'!J257+'SP Attivo Alim'!J258+'SP Attivo Alim'!J259+'SP Attivo Alim'!J260</f>
        <v>1277134</v>
      </c>
      <c r="F213" s="629"/>
      <c r="G213" s="647"/>
      <c r="J213" s="632"/>
      <c r="K213" s="631"/>
    </row>
    <row r="214" spans="1:11" s="648" customFormat="1" ht="24.95" customHeight="1">
      <c r="A214" s="699"/>
      <c r="B214" s="626" t="s">
        <v>4067</v>
      </c>
      <c r="C214" s="627" t="s">
        <v>4068</v>
      </c>
      <c r="D214" s="660">
        <f>+D215+D216+D225+D226+D232+D236+D237</f>
        <v>61453700.019999988</v>
      </c>
      <c r="E214" s="660">
        <f>+E215+E216+E225+E226+E232+E236+E237</f>
        <v>63320799</v>
      </c>
      <c r="F214" s="629"/>
      <c r="G214" s="647"/>
      <c r="J214" s="632"/>
      <c r="K214" s="631"/>
    </row>
    <row r="215" spans="1:11" s="648" customFormat="1" ht="24.95" customHeight="1">
      <c r="A215" s="643"/>
      <c r="B215" s="707" t="s">
        <v>4069</v>
      </c>
      <c r="C215" s="708" t="s">
        <v>4070</v>
      </c>
      <c r="D215" s="646">
        <f>+'Alimentazione SP P'!I4</f>
        <v>308581.39</v>
      </c>
      <c r="E215" s="646">
        <f>+'Alimentazione SP P'!J4</f>
        <v>308581</v>
      </c>
      <c r="F215" s="629"/>
      <c r="G215" s="647"/>
      <c r="J215" s="632"/>
      <c r="K215" s="631"/>
    </row>
    <row r="216" spans="1:11" s="648" customFormat="1" ht="24.95" customHeight="1">
      <c r="A216" s="633"/>
      <c r="B216" s="634" t="s">
        <v>4071</v>
      </c>
      <c r="C216" s="635" t="s">
        <v>4072</v>
      </c>
      <c r="D216" s="636">
        <f>+D217+D218+D222+D223+D224</f>
        <v>52390026.809999995</v>
      </c>
      <c r="E216" s="636">
        <f>+E217+E218+E222+E223+E224</f>
        <v>55126656</v>
      </c>
      <c r="F216" s="629"/>
      <c r="G216" s="647"/>
      <c r="J216" s="632"/>
      <c r="K216" s="631"/>
    </row>
    <row r="217" spans="1:11" s="648" customFormat="1" ht="24.95" customHeight="1">
      <c r="A217" s="643"/>
      <c r="B217" s="650" t="s">
        <v>4073</v>
      </c>
      <c r="C217" s="651" t="s">
        <v>4074</v>
      </c>
      <c r="D217" s="646">
        <f>+'Alimentazione SP P'!I6</f>
        <v>2570479.2999999998</v>
      </c>
      <c r="E217" s="646">
        <f>+'Alimentazione SP P'!J6</f>
        <v>2748992</v>
      </c>
      <c r="F217" s="629"/>
      <c r="G217" s="647"/>
      <c r="J217" s="632"/>
      <c r="K217" s="631"/>
    </row>
    <row r="218" spans="1:11" s="648" customFormat="1" ht="24.95" customHeight="1">
      <c r="A218" s="649"/>
      <c r="B218" s="639" t="s">
        <v>4075</v>
      </c>
      <c r="C218" s="640" t="s">
        <v>4076</v>
      </c>
      <c r="D218" s="641">
        <f>+D219+D220+D221</f>
        <v>22112029.219999999</v>
      </c>
      <c r="E218" s="641">
        <f>+E219+E220+E221</f>
        <v>22727917</v>
      </c>
      <c r="F218" s="629"/>
      <c r="G218" s="647"/>
      <c r="J218" s="632"/>
      <c r="K218" s="631"/>
    </row>
    <row r="219" spans="1:11" s="648" customFormat="1" ht="24.95" customHeight="1">
      <c r="A219" s="643"/>
      <c r="B219" s="644" t="s">
        <v>4077</v>
      </c>
      <c r="C219" s="645" t="s">
        <v>4078</v>
      </c>
      <c r="D219" s="646">
        <f>+'Alimentazione SP P'!I8</f>
        <v>14989040.84</v>
      </c>
      <c r="E219" s="646">
        <f>+'Alimentazione SP P'!J8</f>
        <v>15013895</v>
      </c>
      <c r="F219" s="629"/>
      <c r="G219" s="647"/>
      <c r="J219" s="632"/>
      <c r="K219" s="631"/>
    </row>
    <row r="220" spans="1:11" s="648" customFormat="1" ht="24.95" customHeight="1">
      <c r="A220" s="643"/>
      <c r="B220" s="644" t="s">
        <v>4079</v>
      </c>
      <c r="C220" s="645" t="s">
        <v>4080</v>
      </c>
      <c r="D220" s="646">
        <f>+'Alimentazione SP P'!I9</f>
        <v>736714.39</v>
      </c>
      <c r="E220" s="646">
        <f>+'Alimentazione SP P'!J9</f>
        <v>958921</v>
      </c>
      <c r="F220" s="629"/>
      <c r="G220" s="647"/>
      <c r="J220" s="632"/>
      <c r="K220" s="631"/>
    </row>
    <row r="221" spans="1:11" s="648" customFormat="1" ht="24.95" customHeight="1">
      <c r="A221" s="643"/>
      <c r="B221" s="644" t="s">
        <v>4081</v>
      </c>
      <c r="C221" s="645" t="s">
        <v>4082</v>
      </c>
      <c r="D221" s="646">
        <f>+'Alimentazione SP P'!I10</f>
        <v>6386273.9900000002</v>
      </c>
      <c r="E221" s="646">
        <f>+'Alimentazione SP P'!J10</f>
        <v>6755101</v>
      </c>
      <c r="F221" s="629"/>
      <c r="G221" s="647"/>
      <c r="J221" s="632"/>
      <c r="K221" s="631"/>
    </row>
    <row r="222" spans="1:11" s="648" customFormat="1" ht="24.95" customHeight="1">
      <c r="A222" s="643"/>
      <c r="B222" s="650" t="s">
        <v>4083</v>
      </c>
      <c r="C222" s="651" t="s">
        <v>4084</v>
      </c>
      <c r="D222" s="646">
        <f>+'Alimentazione SP P'!I12+'Alimentazione SP P'!I13</f>
        <v>27474738.66</v>
      </c>
      <c r="E222" s="646">
        <f>+'Alimentazione SP P'!J12+'Alimentazione SP P'!J13</f>
        <v>29508985</v>
      </c>
      <c r="F222" s="629"/>
      <c r="G222" s="647"/>
      <c r="J222" s="632"/>
      <c r="K222" s="631"/>
    </row>
    <row r="223" spans="1:11" s="648" customFormat="1" ht="24.95" customHeight="1">
      <c r="A223" s="643"/>
      <c r="B223" s="650" t="s">
        <v>4085</v>
      </c>
      <c r="C223" s="651" t="s">
        <v>4086</v>
      </c>
      <c r="D223" s="646">
        <f>+'Alimentazione SP P'!I15+'Alimentazione SP P'!I16</f>
        <v>129981.69</v>
      </c>
      <c r="E223" s="646">
        <f>+'Alimentazione SP P'!J15+'Alimentazione SP P'!J16</f>
        <v>28336</v>
      </c>
      <c r="F223" s="629"/>
      <c r="G223" s="647"/>
      <c r="J223" s="632"/>
      <c r="K223" s="631"/>
    </row>
    <row r="224" spans="1:11" s="648" customFormat="1" ht="24.95" customHeight="1">
      <c r="A224" s="643"/>
      <c r="B224" s="650" t="s">
        <v>4087</v>
      </c>
      <c r="C224" s="651" t="s">
        <v>4088</v>
      </c>
      <c r="D224" s="646">
        <f>+'Alimentazione SP P'!I17</f>
        <v>102797.94</v>
      </c>
      <c r="E224" s="646">
        <f>+'Alimentazione SP P'!J17</f>
        <v>112426</v>
      </c>
      <c r="F224" s="629"/>
      <c r="G224" s="647"/>
      <c r="J224" s="632"/>
      <c r="K224" s="631"/>
    </row>
    <row r="225" spans="1:11" s="648" customFormat="1" ht="24.95" customHeight="1">
      <c r="A225" s="643"/>
      <c r="B225" s="707" t="s">
        <v>4089</v>
      </c>
      <c r="C225" s="708" t="s">
        <v>4090</v>
      </c>
      <c r="D225" s="646">
        <f>+'Alimentazione SP P'!I18</f>
        <v>5912507.8600000003</v>
      </c>
      <c r="E225" s="646">
        <f>+'Alimentazione SP P'!J18</f>
        <v>4941979</v>
      </c>
      <c r="F225" s="629"/>
      <c r="G225" s="647"/>
      <c r="J225" s="632"/>
      <c r="K225" s="631"/>
    </row>
    <row r="226" spans="1:11" s="648" customFormat="1" ht="24.95" customHeight="1">
      <c r="A226" s="633"/>
      <c r="B226" s="634" t="s">
        <v>4091</v>
      </c>
      <c r="C226" s="635" t="s">
        <v>4092</v>
      </c>
      <c r="D226" s="636">
        <f>+D227+D228+D229+D230+D231</f>
        <v>2842583.96</v>
      </c>
      <c r="E226" s="636">
        <f>+E227+E228+E229+E230+E231</f>
        <v>2927983</v>
      </c>
      <c r="F226" s="629"/>
      <c r="G226" s="647"/>
      <c r="J226" s="632"/>
      <c r="K226" s="631"/>
    </row>
    <row r="227" spans="1:11" s="648" customFormat="1" ht="24.95" customHeight="1">
      <c r="A227" s="643"/>
      <c r="B227" s="650" t="s">
        <v>4093</v>
      </c>
      <c r="C227" s="651" t="s">
        <v>4094</v>
      </c>
      <c r="D227" s="646">
        <f>+'Alimentazione SP P'!I20</f>
        <v>0</v>
      </c>
      <c r="E227" s="646">
        <f>+'Alimentazione SP P'!J20</f>
        <v>0</v>
      </c>
      <c r="F227" s="629"/>
      <c r="G227" s="647"/>
      <c r="J227" s="632"/>
      <c r="K227" s="631"/>
    </row>
    <row r="228" spans="1:11" s="648" customFormat="1" ht="24.95" customHeight="1">
      <c r="A228" s="643"/>
      <c r="B228" s="650" t="s">
        <v>4095</v>
      </c>
      <c r="C228" s="651" t="s">
        <v>4096</v>
      </c>
      <c r="D228" s="646">
        <f>+'Alimentazione SP P'!I21</f>
        <v>657495.01</v>
      </c>
      <c r="E228" s="646">
        <f>+'Alimentazione SP P'!J21</f>
        <v>654168</v>
      </c>
      <c r="F228" s="629"/>
      <c r="G228" s="647"/>
      <c r="J228" s="632"/>
      <c r="K228" s="631"/>
    </row>
    <row r="229" spans="1:11" s="648" customFormat="1" ht="24.95" customHeight="1">
      <c r="A229" s="643"/>
      <c r="B229" s="650" t="s">
        <v>4097</v>
      </c>
      <c r="C229" s="651" t="s">
        <v>4098</v>
      </c>
      <c r="D229" s="646">
        <f>+'Alimentazione SP P'!I22</f>
        <v>361725.56</v>
      </c>
      <c r="E229" s="646">
        <f>+'Alimentazione SP P'!J22</f>
        <v>366049</v>
      </c>
      <c r="F229" s="629"/>
      <c r="G229" s="647"/>
      <c r="J229" s="632"/>
      <c r="K229" s="631"/>
    </row>
    <row r="230" spans="1:11" s="648" customFormat="1" ht="24.95" customHeight="1">
      <c r="A230" s="643"/>
      <c r="B230" s="650" t="s">
        <v>4099</v>
      </c>
      <c r="C230" s="651" t="s">
        <v>4100</v>
      </c>
      <c r="D230" s="646">
        <f>+'Alimentazione SP P'!I23</f>
        <v>209102.51</v>
      </c>
      <c r="E230" s="646">
        <f>+'Alimentazione SP P'!J23</f>
        <v>193503</v>
      </c>
      <c r="F230" s="629"/>
      <c r="G230" s="647"/>
      <c r="J230" s="632"/>
      <c r="K230" s="631"/>
    </row>
    <row r="231" spans="1:11" s="648" customFormat="1" ht="24.95" customHeight="1">
      <c r="A231" s="643"/>
      <c r="B231" s="650" t="s">
        <v>4101</v>
      </c>
      <c r="C231" s="651" t="s">
        <v>4102</v>
      </c>
      <c r="D231" s="646">
        <f>+'Alimentazione SP P'!I24</f>
        <v>1614260.88</v>
      </c>
      <c r="E231" s="646">
        <f>+'Alimentazione SP P'!J24</f>
        <v>1714263</v>
      </c>
      <c r="F231" s="629"/>
      <c r="G231" s="647"/>
      <c r="J231" s="632"/>
      <c r="K231" s="631"/>
    </row>
    <row r="232" spans="1:11" s="648" customFormat="1" ht="24.95" customHeight="1">
      <c r="A232" s="633"/>
      <c r="B232" s="634" t="s">
        <v>4103</v>
      </c>
      <c r="C232" s="635" t="s">
        <v>4104</v>
      </c>
      <c r="D232" s="636">
        <f>+D233+D234+D235</f>
        <v>0</v>
      </c>
      <c r="E232" s="636">
        <f>+E233+E234+E235</f>
        <v>0</v>
      </c>
      <c r="F232" s="629"/>
      <c r="G232" s="647"/>
      <c r="J232" s="632"/>
      <c r="K232" s="631"/>
    </row>
    <row r="233" spans="1:11" s="648" customFormat="1" ht="24.95" customHeight="1">
      <c r="A233" s="643"/>
      <c r="B233" s="650" t="s">
        <v>4105</v>
      </c>
      <c r="C233" s="651" t="s">
        <v>4106</v>
      </c>
      <c r="D233" s="646">
        <f>+'Alimentazione SP P'!I26</f>
        <v>0</v>
      </c>
      <c r="E233" s="646">
        <f>+'Alimentazione SP P'!J26</f>
        <v>0</v>
      </c>
      <c r="F233" s="629"/>
      <c r="G233" s="647"/>
      <c r="J233" s="632"/>
      <c r="K233" s="631"/>
    </row>
    <row r="234" spans="1:11" s="648" customFormat="1" ht="24.95" customHeight="1">
      <c r="A234" s="643"/>
      <c r="B234" s="650" t="s">
        <v>4107</v>
      </c>
      <c r="C234" s="651" t="s">
        <v>4108</v>
      </c>
      <c r="D234" s="646">
        <f>+'Alimentazione SP P'!I27</f>
        <v>0</v>
      </c>
      <c r="E234" s="646">
        <f>+'Alimentazione SP P'!J27</f>
        <v>0</v>
      </c>
      <c r="F234" s="629"/>
      <c r="G234" s="647"/>
      <c r="J234" s="632"/>
      <c r="K234" s="631"/>
    </row>
    <row r="235" spans="1:11" s="648" customFormat="1" ht="24.95" customHeight="1">
      <c r="A235" s="643"/>
      <c r="B235" s="650" t="s">
        <v>4109</v>
      </c>
      <c r="C235" s="651" t="s">
        <v>4110</v>
      </c>
      <c r="D235" s="646">
        <f>+'Alimentazione SP P'!I28</f>
        <v>0</v>
      </c>
      <c r="E235" s="646">
        <f>+'Alimentazione SP P'!J28</f>
        <v>0</v>
      </c>
      <c r="F235" s="629"/>
      <c r="G235" s="647"/>
      <c r="J235" s="632"/>
      <c r="K235" s="631"/>
    </row>
    <row r="236" spans="1:11" s="648" customFormat="1" ht="24.95" customHeight="1">
      <c r="A236" s="643"/>
      <c r="B236" s="707" t="s">
        <v>4111</v>
      </c>
      <c r="C236" s="708" t="s">
        <v>4112</v>
      </c>
      <c r="D236" s="646">
        <f>+'Alimentazione SP P'!I29</f>
        <v>0</v>
      </c>
      <c r="E236" s="646">
        <f>+'Alimentazione SP P'!J29</f>
        <v>0</v>
      </c>
      <c r="F236" s="629"/>
      <c r="G236" s="647"/>
      <c r="J236" s="632"/>
      <c r="K236" s="631"/>
    </row>
    <row r="237" spans="1:11" s="648" customFormat="1" ht="24.95" customHeight="1" thickBot="1">
      <c r="A237" s="653"/>
      <c r="B237" s="709" t="s">
        <v>4113</v>
      </c>
      <c r="C237" s="710" t="s">
        <v>4114</v>
      </c>
      <c r="D237" s="646">
        <f>+'Alimentazione SP P'!I30</f>
        <v>-8.8475644588470459E-9</v>
      </c>
      <c r="E237" s="646">
        <f>+'Alimentazione SP P'!J30</f>
        <v>15600</v>
      </c>
      <c r="F237" s="629"/>
      <c r="G237" s="647"/>
      <c r="J237" s="632"/>
      <c r="K237" s="631"/>
    </row>
    <row r="238" spans="1:11" s="648" customFormat="1" ht="24.95" customHeight="1">
      <c r="A238" s="625"/>
      <c r="B238" s="626" t="s">
        <v>4115</v>
      </c>
      <c r="C238" s="627" t="s">
        <v>4116</v>
      </c>
      <c r="D238" s="660">
        <f>+D239+D240+D248+D257+D263</f>
        <v>20277437.329999998</v>
      </c>
      <c r="E238" s="660">
        <f>+E239+E240+E248+E257+E263</f>
        <v>21502759</v>
      </c>
      <c r="F238" s="629"/>
      <c r="G238" s="647"/>
      <c r="J238" s="632"/>
      <c r="K238" s="631"/>
    </row>
    <row r="239" spans="1:11" s="648" customFormat="1" ht="24.95" customHeight="1">
      <c r="A239" s="643"/>
      <c r="B239" s="707" t="s">
        <v>4117</v>
      </c>
      <c r="C239" s="708" t="s">
        <v>4118</v>
      </c>
      <c r="D239" s="646">
        <f>+'Alimentazione SP P'!I112</f>
        <v>0</v>
      </c>
      <c r="E239" s="646">
        <f>+'Alimentazione SP P'!J112</f>
        <v>0</v>
      </c>
      <c r="F239" s="629"/>
      <c r="G239" s="647"/>
      <c r="J239" s="632"/>
      <c r="K239" s="631"/>
    </row>
    <row r="240" spans="1:11" s="648" customFormat="1" ht="24.95" customHeight="1">
      <c r="A240" s="633"/>
      <c r="B240" s="634" t="s">
        <v>4119</v>
      </c>
      <c r="C240" s="635" t="s">
        <v>4120</v>
      </c>
      <c r="D240" s="636">
        <f>SUM(D241:D247)</f>
        <v>4666013.5299999993</v>
      </c>
      <c r="E240" s="636">
        <f>SUM(E241:E247)</f>
        <v>4577189</v>
      </c>
      <c r="F240" s="629"/>
      <c r="G240" s="647"/>
      <c r="J240" s="632"/>
      <c r="K240" s="631"/>
    </row>
    <row r="241" spans="1:11" s="648" customFormat="1" ht="24.95" customHeight="1">
      <c r="A241" s="643"/>
      <c r="B241" s="650" t="s">
        <v>4121</v>
      </c>
      <c r="C241" s="651" t="s">
        <v>4122</v>
      </c>
      <c r="D241" s="646">
        <f>+'Alimentazione SP P'!I114</f>
        <v>3142281.53</v>
      </c>
      <c r="E241" s="646">
        <f>+'Alimentazione SP P'!J114</f>
        <v>3070898</v>
      </c>
      <c r="F241" s="629"/>
      <c r="G241" s="647"/>
      <c r="J241" s="632"/>
      <c r="K241" s="631"/>
    </row>
    <row r="242" spans="1:11" s="648" customFormat="1" ht="24.95" customHeight="1">
      <c r="A242" s="643"/>
      <c r="B242" s="650" t="s">
        <v>4123</v>
      </c>
      <c r="C242" s="651" t="s">
        <v>4124</v>
      </c>
      <c r="D242" s="646">
        <f>+'Alimentazione SP P'!I115</f>
        <v>887000</v>
      </c>
      <c r="E242" s="646">
        <f>+'Alimentazione SP P'!J115</f>
        <v>869559</v>
      </c>
      <c r="F242" s="629"/>
      <c r="G242" s="647"/>
      <c r="J242" s="632"/>
      <c r="K242" s="631"/>
    </row>
    <row r="243" spans="1:11" s="648" customFormat="1" ht="24.95" customHeight="1">
      <c r="A243" s="643"/>
      <c r="B243" s="650" t="s">
        <v>4125</v>
      </c>
      <c r="C243" s="651" t="s">
        <v>4126</v>
      </c>
      <c r="D243" s="646">
        <f>+'Alimentazione SP P'!I116</f>
        <v>0</v>
      </c>
      <c r="E243" s="646">
        <f>+'Alimentazione SP P'!J116</f>
        <v>0</v>
      </c>
      <c r="F243" s="629"/>
      <c r="G243" s="647"/>
      <c r="J243" s="632"/>
      <c r="K243" s="631"/>
    </row>
    <row r="244" spans="1:11" s="648" customFormat="1" ht="24.95" customHeight="1">
      <c r="A244" s="643"/>
      <c r="B244" s="650" t="s">
        <v>4127</v>
      </c>
      <c r="C244" s="651" t="s">
        <v>4128</v>
      </c>
      <c r="D244" s="646">
        <f>+'Alimentazione SP P'!I117</f>
        <v>0</v>
      </c>
      <c r="E244" s="646">
        <f>+'Alimentazione SP P'!J117</f>
        <v>0</v>
      </c>
      <c r="F244" s="629"/>
      <c r="G244" s="647"/>
      <c r="J244" s="632"/>
      <c r="K244" s="631"/>
    </row>
    <row r="245" spans="1:11" s="648" customFormat="1" ht="24.95" customHeight="1">
      <c r="A245" s="643"/>
      <c r="B245" s="711" t="s">
        <v>4129</v>
      </c>
      <c r="C245" s="712" t="s">
        <v>4130</v>
      </c>
      <c r="D245" s="646">
        <f>+'Alimentazione SP P'!I118+'Alimentazione SP P'!I119</f>
        <v>0</v>
      </c>
      <c r="E245" s="646">
        <f>+'Alimentazione SP P'!J118+'Alimentazione SP P'!J119</f>
        <v>0</v>
      </c>
      <c r="F245" s="629"/>
      <c r="G245" s="647"/>
      <c r="J245" s="632"/>
      <c r="K245" s="631"/>
    </row>
    <row r="246" spans="1:11" s="648" customFormat="1" ht="24.95" customHeight="1">
      <c r="A246" s="643"/>
      <c r="B246" s="711" t="s">
        <v>4131</v>
      </c>
      <c r="C246" s="712" t="s">
        <v>4132</v>
      </c>
      <c r="D246" s="646">
        <f>+'Alimentazione SP P'!I120</f>
        <v>0</v>
      </c>
      <c r="E246" s="646">
        <f>+'Alimentazione SP P'!J120</f>
        <v>0</v>
      </c>
      <c r="F246" s="629"/>
      <c r="G246" s="647"/>
      <c r="J246" s="632"/>
      <c r="K246" s="631"/>
    </row>
    <row r="247" spans="1:11" s="648" customFormat="1" ht="24.95" customHeight="1">
      <c r="A247" s="643"/>
      <c r="B247" s="711" t="s">
        <v>4133</v>
      </c>
      <c r="C247" s="712" t="s">
        <v>4134</v>
      </c>
      <c r="D247" s="646">
        <f>+'Alimentazione SP P'!I122+'Alimentazione SP P'!I123+'Alimentazione SP P'!I124</f>
        <v>636732</v>
      </c>
      <c r="E247" s="646">
        <f>+'Alimentazione SP P'!J122+'Alimentazione SP P'!J123+'Alimentazione SP P'!J124</f>
        <v>636732</v>
      </c>
      <c r="F247" s="629"/>
      <c r="G247" s="647"/>
      <c r="J247" s="632"/>
      <c r="K247" s="631"/>
    </row>
    <row r="248" spans="1:11" s="648" customFormat="1" ht="24.95" customHeight="1">
      <c r="A248" s="633"/>
      <c r="B248" s="634" t="s">
        <v>4135</v>
      </c>
      <c r="C248" s="635" t="s">
        <v>4136</v>
      </c>
      <c r="D248" s="636">
        <f>SUM(D249:D256)</f>
        <v>0</v>
      </c>
      <c r="E248" s="636">
        <f>SUM(E249:E256)</f>
        <v>0</v>
      </c>
      <c r="F248" s="629"/>
      <c r="G248" s="647"/>
      <c r="J248" s="632"/>
      <c r="K248" s="631"/>
    </row>
    <row r="249" spans="1:11" s="648" customFormat="1" ht="24.95" customHeight="1">
      <c r="A249" s="643"/>
      <c r="B249" s="650" t="s">
        <v>4137</v>
      </c>
      <c r="C249" s="651" t="s">
        <v>4138</v>
      </c>
      <c r="D249" s="646">
        <f>+'Alimentazione SP P'!I126</f>
        <v>0</v>
      </c>
      <c r="E249" s="646">
        <f>+'Alimentazione SP P'!J126</f>
        <v>0</v>
      </c>
      <c r="F249" s="629"/>
      <c r="G249" s="647"/>
      <c r="J249" s="632"/>
      <c r="K249" s="631"/>
    </row>
    <row r="250" spans="1:11" s="648" customFormat="1" ht="24.95" customHeight="1">
      <c r="A250" s="643"/>
      <c r="B250" s="650" t="s">
        <v>4139</v>
      </c>
      <c r="C250" s="651" t="s">
        <v>4140</v>
      </c>
      <c r="D250" s="646">
        <f>+'Alimentazione SP P'!I127</f>
        <v>0</v>
      </c>
      <c r="E250" s="646">
        <f>+'Alimentazione SP P'!J127</f>
        <v>0</v>
      </c>
      <c r="F250" s="629"/>
      <c r="G250" s="647"/>
      <c r="J250" s="632"/>
      <c r="K250" s="631"/>
    </row>
    <row r="251" spans="1:11" s="648" customFormat="1" ht="24.95" customHeight="1">
      <c r="A251" s="643"/>
      <c r="B251" s="650" t="s">
        <v>4141</v>
      </c>
      <c r="C251" s="651" t="s">
        <v>4142</v>
      </c>
      <c r="D251" s="646">
        <f>+'Alimentazione SP P'!I128</f>
        <v>0</v>
      </c>
      <c r="E251" s="646">
        <f>+'Alimentazione SP P'!J128</f>
        <v>0</v>
      </c>
      <c r="F251" s="629"/>
      <c r="G251" s="647"/>
      <c r="J251" s="632"/>
      <c r="K251" s="631"/>
    </row>
    <row r="252" spans="1:11" s="648" customFormat="1" ht="24.95" customHeight="1">
      <c r="A252" s="643"/>
      <c r="B252" s="650" t="s">
        <v>4143</v>
      </c>
      <c r="C252" s="651" t="s">
        <v>4144</v>
      </c>
      <c r="D252" s="646">
        <f>+'Alimentazione SP P'!I129</f>
        <v>0</v>
      </c>
      <c r="E252" s="646">
        <f>+'Alimentazione SP P'!J129</f>
        <v>0</v>
      </c>
      <c r="F252" s="629"/>
      <c r="G252" s="647"/>
      <c r="J252" s="632"/>
      <c r="K252" s="631"/>
    </row>
    <row r="253" spans="1:11" s="648" customFormat="1" ht="24.95" customHeight="1">
      <c r="A253" s="643"/>
      <c r="B253" s="650" t="s">
        <v>4145</v>
      </c>
      <c r="C253" s="651" t="s">
        <v>4146</v>
      </c>
      <c r="D253" s="646">
        <f>+'Alimentazione SP P'!I130</f>
        <v>0</v>
      </c>
      <c r="E253" s="646">
        <f>+'Alimentazione SP P'!J130</f>
        <v>0</v>
      </c>
      <c r="F253" s="629"/>
      <c r="G253" s="647"/>
      <c r="J253" s="632"/>
      <c r="K253" s="631"/>
    </row>
    <row r="254" spans="1:11" s="648" customFormat="1" ht="24.95" customHeight="1">
      <c r="A254" s="643"/>
      <c r="B254" s="650" t="s">
        <v>4147</v>
      </c>
      <c r="C254" s="651" t="s">
        <v>4148</v>
      </c>
      <c r="D254" s="646">
        <f>+'Alimentazione SP P'!I131</f>
        <v>0</v>
      </c>
      <c r="E254" s="646">
        <f>+'Alimentazione SP P'!J131</f>
        <v>0</v>
      </c>
      <c r="F254" s="629"/>
      <c r="G254" s="647"/>
      <c r="J254" s="632"/>
      <c r="K254" s="631"/>
    </row>
    <row r="255" spans="1:11" s="648" customFormat="1" ht="24.95" customHeight="1">
      <c r="A255" s="643"/>
      <c r="B255" s="650" t="s">
        <v>4149</v>
      </c>
      <c r="C255" s="651" t="s">
        <v>4150</v>
      </c>
      <c r="D255" s="646">
        <f>+'Alimentazione SP P'!I132</f>
        <v>0</v>
      </c>
      <c r="E255" s="646">
        <f>+'Alimentazione SP P'!J132</f>
        <v>0</v>
      </c>
      <c r="F255" s="629"/>
      <c r="G255" s="647"/>
      <c r="J255" s="632"/>
      <c r="K255" s="631"/>
    </row>
    <row r="256" spans="1:11" s="648" customFormat="1" ht="33.75" customHeight="1">
      <c r="A256" s="643"/>
      <c r="B256" s="713" t="s">
        <v>4151</v>
      </c>
      <c r="C256" s="714" t="s">
        <v>4152</v>
      </c>
      <c r="D256" s="646">
        <f>+'Alimentazione SP P'!I133</f>
        <v>0</v>
      </c>
      <c r="E256" s="646">
        <f>+'Alimentazione SP P'!J133</f>
        <v>0</v>
      </c>
      <c r="F256" s="629"/>
      <c r="G256" s="647"/>
      <c r="J256" s="632"/>
      <c r="K256" s="631"/>
    </row>
    <row r="257" spans="1:11" s="648" customFormat="1" ht="24.95" customHeight="1">
      <c r="A257" s="633"/>
      <c r="B257" s="634" t="s">
        <v>4153</v>
      </c>
      <c r="C257" s="635" t="s">
        <v>4154</v>
      </c>
      <c r="D257" s="636">
        <f>SUM(D258:D262)</f>
        <v>12509144.470000001</v>
      </c>
      <c r="E257" s="636">
        <f>SUM(E258:E262)</f>
        <v>14851638</v>
      </c>
      <c r="F257" s="629"/>
      <c r="G257" s="647"/>
      <c r="J257" s="632"/>
      <c r="K257" s="631"/>
    </row>
    <row r="258" spans="1:11" s="676" customFormat="1" ht="24.95" customHeight="1">
      <c r="A258" s="643"/>
      <c r="B258" s="711" t="s">
        <v>4155</v>
      </c>
      <c r="C258" s="712" t="s">
        <v>4156</v>
      </c>
      <c r="D258" s="646">
        <f>+'Alimentazione SP P'!I135</f>
        <v>2286917.41</v>
      </c>
      <c r="E258" s="646">
        <f>+'Alimentazione SP P'!J135</f>
        <v>2033747</v>
      </c>
      <c r="F258" s="629"/>
      <c r="G258" s="647"/>
      <c r="J258" s="632"/>
      <c r="K258" s="631"/>
    </row>
    <row r="259" spans="1:11" s="648" customFormat="1" ht="24.95" customHeight="1">
      <c r="A259" s="643"/>
      <c r="B259" s="650" t="s">
        <v>4157</v>
      </c>
      <c r="C259" s="651" t="s">
        <v>4158</v>
      </c>
      <c r="D259" s="646">
        <f>+'Alimentazione SP P'!I136</f>
        <v>0</v>
      </c>
      <c r="E259" s="646">
        <f>+'Alimentazione SP P'!J136</f>
        <v>0</v>
      </c>
      <c r="F259" s="629"/>
      <c r="G259" s="647"/>
      <c r="J259" s="632"/>
      <c r="K259" s="631"/>
    </row>
    <row r="260" spans="1:11" s="648" customFormat="1" ht="24.95" customHeight="1">
      <c r="A260" s="643"/>
      <c r="B260" s="650" t="s">
        <v>4159</v>
      </c>
      <c r="C260" s="651" t="s">
        <v>4160</v>
      </c>
      <c r="D260" s="646">
        <f>+'Alimentazione SP P'!I137</f>
        <v>1821243.3</v>
      </c>
      <c r="E260" s="646">
        <f>+'Alimentazione SP P'!J137</f>
        <v>2039015</v>
      </c>
      <c r="F260" s="629"/>
      <c r="G260" s="647"/>
      <c r="J260" s="632"/>
      <c r="K260" s="631"/>
    </row>
    <row r="261" spans="1:11" s="648" customFormat="1" ht="24.95" customHeight="1">
      <c r="A261" s="643"/>
      <c r="B261" s="650" t="s">
        <v>4161</v>
      </c>
      <c r="C261" s="651" t="s">
        <v>4162</v>
      </c>
      <c r="D261" s="646">
        <f>+'Alimentazione SP P'!I138</f>
        <v>2443457.92</v>
      </c>
      <c r="E261" s="646">
        <f>+'Alimentazione SP P'!J138</f>
        <v>4694074</v>
      </c>
      <c r="F261" s="629"/>
      <c r="G261" s="647"/>
      <c r="J261" s="632"/>
      <c r="K261" s="631"/>
    </row>
    <row r="262" spans="1:11" s="648" customFormat="1" ht="24.95" customHeight="1">
      <c r="A262" s="643"/>
      <c r="B262" s="650" t="s">
        <v>4163</v>
      </c>
      <c r="C262" s="651" t="s">
        <v>4164</v>
      </c>
      <c r="D262" s="646">
        <f>+'Alimentazione SP P'!I140+'Alimentazione SP P'!I141</f>
        <v>5957525.8400000008</v>
      </c>
      <c r="E262" s="646">
        <f>+'Alimentazione SP P'!J140+'Alimentazione SP P'!J141</f>
        <v>6084802</v>
      </c>
      <c r="F262" s="629"/>
      <c r="G262" s="647"/>
      <c r="J262" s="632"/>
      <c r="K262" s="631"/>
    </row>
    <row r="263" spans="1:11" s="648" customFormat="1" ht="24.95" customHeight="1">
      <c r="A263" s="633"/>
      <c r="B263" s="634" t="s">
        <v>4165</v>
      </c>
      <c r="C263" s="635" t="s">
        <v>4166</v>
      </c>
      <c r="D263" s="636">
        <f>+D264+D265+D269+D270</f>
        <v>3102279.3299999996</v>
      </c>
      <c r="E263" s="636">
        <f>+E264+E265+E269+E270</f>
        <v>2073932</v>
      </c>
      <c r="F263" s="629"/>
      <c r="G263" s="647"/>
      <c r="J263" s="632"/>
      <c r="K263" s="631"/>
    </row>
    <row r="264" spans="1:11" s="648" customFormat="1" ht="24.95" customHeight="1">
      <c r="A264" s="643"/>
      <c r="B264" s="650" t="s">
        <v>4167</v>
      </c>
      <c r="C264" s="651" t="s">
        <v>4168</v>
      </c>
      <c r="D264" s="646">
        <f>+'Alimentazione SP P'!I143</f>
        <v>0</v>
      </c>
      <c r="E264" s="646">
        <f>+'Alimentazione SP P'!J143</f>
        <v>0</v>
      </c>
      <c r="F264" s="629"/>
      <c r="G264" s="647"/>
      <c r="J264" s="632"/>
      <c r="K264" s="631"/>
    </row>
    <row r="265" spans="1:11" s="648" customFormat="1" ht="24.95" customHeight="1">
      <c r="A265" s="649"/>
      <c r="B265" s="639" t="s">
        <v>4169</v>
      </c>
      <c r="C265" s="640" t="s">
        <v>4170</v>
      </c>
      <c r="D265" s="641">
        <f>+D266+D267+D268</f>
        <v>2245968.25</v>
      </c>
      <c r="E265" s="641">
        <f>+E266+E267+E268</f>
        <v>1325554</v>
      </c>
      <c r="F265" s="629"/>
      <c r="G265" s="647"/>
      <c r="J265" s="632"/>
      <c r="K265" s="631"/>
    </row>
    <row r="266" spans="1:11" s="648" customFormat="1" ht="24.95" customHeight="1">
      <c r="A266" s="643"/>
      <c r="B266" s="644" t="s">
        <v>4171</v>
      </c>
      <c r="C266" s="645" t="s">
        <v>4172</v>
      </c>
      <c r="D266" s="646">
        <f>+'Alimentazione SP P'!I145</f>
        <v>2245968.25</v>
      </c>
      <c r="E266" s="646">
        <f>+'Alimentazione SP P'!J145</f>
        <v>1325554</v>
      </c>
      <c r="F266" s="629"/>
      <c r="G266" s="647"/>
      <c r="J266" s="632"/>
      <c r="K266" s="631"/>
    </row>
    <row r="267" spans="1:11" s="648" customFormat="1" ht="24.95" customHeight="1">
      <c r="A267" s="643"/>
      <c r="B267" s="644" t="s">
        <v>4173</v>
      </c>
      <c r="C267" s="645" t="s">
        <v>4174</v>
      </c>
      <c r="D267" s="646">
        <f>+'Alimentazione SP P'!I146</f>
        <v>0</v>
      </c>
      <c r="E267" s="646">
        <f>+'Alimentazione SP P'!J146</f>
        <v>0</v>
      </c>
      <c r="F267" s="629"/>
      <c r="G267" s="647"/>
      <c r="J267" s="632"/>
      <c r="K267" s="631"/>
    </row>
    <row r="268" spans="1:11" s="648" customFormat="1" ht="24.95" customHeight="1">
      <c r="A268" s="643"/>
      <c r="B268" s="644" t="s">
        <v>4175</v>
      </c>
      <c r="C268" s="645" t="s">
        <v>4176</v>
      </c>
      <c r="D268" s="646">
        <f>+'Alimentazione SP P'!I147</f>
        <v>0</v>
      </c>
      <c r="E268" s="646">
        <f>+'Alimentazione SP P'!J147</f>
        <v>0</v>
      </c>
      <c r="F268" s="629"/>
      <c r="G268" s="647"/>
      <c r="J268" s="632"/>
      <c r="K268" s="631"/>
    </row>
    <row r="269" spans="1:11" s="648" customFormat="1" ht="24.95" customHeight="1">
      <c r="A269" s="704"/>
      <c r="B269" s="715" t="s">
        <v>4177</v>
      </c>
      <c r="C269" s="716" t="s">
        <v>4178</v>
      </c>
      <c r="D269" s="646">
        <f>+'Alimentazione SP P'!I149+'Alimentazione SP P'!I150</f>
        <v>567206.51</v>
      </c>
      <c r="E269" s="646">
        <f>+'Alimentazione SP P'!J149+'Alimentazione SP P'!J150</f>
        <v>567206</v>
      </c>
      <c r="F269" s="629"/>
      <c r="G269" s="647"/>
      <c r="J269" s="632"/>
      <c r="K269" s="631"/>
    </row>
    <row r="270" spans="1:11" s="676" customFormat="1" ht="24.95" customHeight="1">
      <c r="A270" s="717"/>
      <c r="B270" s="718" t="s">
        <v>4179</v>
      </c>
      <c r="C270" s="719" t="s">
        <v>4180</v>
      </c>
      <c r="D270" s="646">
        <f>+'Alimentazione SP P'!I151</f>
        <v>289104.57</v>
      </c>
      <c r="E270" s="646">
        <f>+'Alimentazione SP P'!J151</f>
        <v>181172</v>
      </c>
      <c r="F270" s="629"/>
      <c r="G270" s="647"/>
      <c r="J270" s="632"/>
      <c r="K270" s="631"/>
    </row>
    <row r="271" spans="1:11" s="648" customFormat="1" ht="24.95" customHeight="1">
      <c r="A271" s="625"/>
      <c r="B271" s="720" t="s">
        <v>4181</v>
      </c>
      <c r="C271" s="700" t="s">
        <v>4182</v>
      </c>
      <c r="D271" s="701">
        <f>+D272+D273+D274</f>
        <v>0</v>
      </c>
      <c r="E271" s="701">
        <f>+E272+E273+E274</f>
        <v>0</v>
      </c>
      <c r="F271" s="629"/>
      <c r="G271" s="647"/>
      <c r="J271" s="632"/>
      <c r="K271" s="631"/>
    </row>
    <row r="272" spans="1:11" s="648" customFormat="1" ht="24.95" customHeight="1">
      <c r="A272" s="643"/>
      <c r="B272" s="707" t="s">
        <v>4183</v>
      </c>
      <c r="C272" s="708" t="s">
        <v>4184</v>
      </c>
      <c r="D272" s="646">
        <f>+'Alimentazione SP P'!I153</f>
        <v>0</v>
      </c>
      <c r="E272" s="646">
        <f>+'Alimentazione SP P'!J153</f>
        <v>0</v>
      </c>
      <c r="F272" s="629"/>
      <c r="G272" s="647"/>
      <c r="J272" s="632"/>
      <c r="K272" s="631"/>
    </row>
    <row r="273" spans="1:11" s="648" customFormat="1" ht="24.95" customHeight="1">
      <c r="A273" s="643"/>
      <c r="B273" s="707" t="s">
        <v>4185</v>
      </c>
      <c r="C273" s="708" t="s">
        <v>4186</v>
      </c>
      <c r="D273" s="646">
        <f>+'Alimentazione SP P'!I154</f>
        <v>0</v>
      </c>
      <c r="E273" s="646">
        <f>+'Alimentazione SP P'!J154</f>
        <v>0</v>
      </c>
      <c r="F273" s="629"/>
      <c r="G273" s="647"/>
      <c r="J273" s="632"/>
      <c r="K273" s="631"/>
    </row>
    <row r="274" spans="1:11" s="648" customFormat="1" ht="24.95" customHeight="1" thickBot="1">
      <c r="A274" s="653"/>
      <c r="B274" s="709" t="s">
        <v>4187</v>
      </c>
      <c r="C274" s="710" t="s">
        <v>4188</v>
      </c>
      <c r="D274" s="646">
        <f>+'Alimentazione SP P'!I155</f>
        <v>0</v>
      </c>
      <c r="E274" s="646">
        <f>+'Alimentazione SP P'!J155</f>
        <v>0</v>
      </c>
      <c r="F274" s="629"/>
      <c r="G274" s="647"/>
      <c r="J274" s="632"/>
      <c r="K274" s="631"/>
    </row>
    <row r="275" spans="1:11" s="648" customFormat="1" ht="24.95" customHeight="1">
      <c r="A275" s="721"/>
      <c r="B275" s="722" t="s">
        <v>4189</v>
      </c>
      <c r="C275" s="627" t="s">
        <v>4190</v>
      </c>
      <c r="D275" s="660">
        <f>+D276+D277+D283+D294+D295+D313+D317+D324+D325+D326+D327</f>
        <v>21988736.809999999</v>
      </c>
      <c r="E275" s="660">
        <f>+E276+E277+E283+E294+E295+E313+E317+E324+E325+E326+E327</f>
        <v>28762966</v>
      </c>
      <c r="F275" s="629"/>
      <c r="G275" s="647"/>
      <c r="J275" s="632"/>
      <c r="K275" s="631"/>
    </row>
    <row r="276" spans="1:11" s="648" customFormat="1" ht="24.95" customHeight="1">
      <c r="A276" s="643"/>
      <c r="B276" s="707" t="s">
        <v>4191</v>
      </c>
      <c r="C276" s="708" t="s">
        <v>4192</v>
      </c>
      <c r="D276" s="646">
        <f>+'Alimentazione SP P'!I157</f>
        <v>0</v>
      </c>
      <c r="E276" s="646">
        <f>+'Alimentazione SP P'!J157</f>
        <v>0</v>
      </c>
      <c r="F276" s="629"/>
      <c r="G276" s="647"/>
      <c r="J276" s="632"/>
      <c r="K276" s="631"/>
    </row>
    <row r="277" spans="1:11" s="648" customFormat="1" ht="24.95" customHeight="1">
      <c r="A277" s="643"/>
      <c r="B277" s="707" t="s">
        <v>4193</v>
      </c>
      <c r="C277" s="708" t="s">
        <v>4194</v>
      </c>
      <c r="D277" s="646">
        <f>SUM(D278:D282)</f>
        <v>0</v>
      </c>
      <c r="E277" s="646">
        <f>SUM(E278:E282)</f>
        <v>0</v>
      </c>
      <c r="F277" s="629"/>
      <c r="G277" s="647"/>
      <c r="J277" s="632"/>
      <c r="K277" s="631"/>
    </row>
    <row r="278" spans="1:11" s="648" customFormat="1" ht="24.95" customHeight="1">
      <c r="A278" s="723" t="s">
        <v>1574</v>
      </c>
      <c r="B278" s="711" t="s">
        <v>4195</v>
      </c>
      <c r="C278" s="712" t="s">
        <v>4196</v>
      </c>
      <c r="D278" s="646">
        <f>+'Alimentazione SP P'!I159</f>
        <v>0</v>
      </c>
      <c r="E278" s="646">
        <f>+'Alimentazione SP P'!J159</f>
        <v>0</v>
      </c>
      <c r="F278" s="629"/>
      <c r="G278" s="647"/>
      <c r="J278" s="632"/>
      <c r="K278" s="631"/>
    </row>
    <row r="279" spans="1:11" s="648" customFormat="1" ht="24.95" customHeight="1">
      <c r="A279" s="723"/>
      <c r="B279" s="711" t="s">
        <v>4197</v>
      </c>
      <c r="C279" s="712" t="s">
        <v>4198</v>
      </c>
      <c r="D279" s="646">
        <f>+'Alimentazione SP P'!I160</f>
        <v>0</v>
      </c>
      <c r="E279" s="646">
        <f>+'Alimentazione SP P'!J160</f>
        <v>0</v>
      </c>
      <c r="F279" s="629"/>
      <c r="G279" s="647"/>
      <c r="J279" s="632"/>
      <c r="K279" s="631"/>
    </row>
    <row r="280" spans="1:11" s="648" customFormat="1" ht="24.95" customHeight="1">
      <c r="A280" s="693" t="s">
        <v>1578</v>
      </c>
      <c r="B280" s="711" t="s">
        <v>4199</v>
      </c>
      <c r="C280" s="712" t="s">
        <v>4200</v>
      </c>
      <c r="D280" s="646">
        <f>+'Alimentazione SP P'!I161</f>
        <v>0</v>
      </c>
      <c r="E280" s="646">
        <f>+'Alimentazione SP P'!J161</f>
        <v>0</v>
      </c>
      <c r="F280" s="629"/>
      <c r="G280" s="647"/>
      <c r="J280" s="632"/>
      <c r="K280" s="631"/>
    </row>
    <row r="281" spans="1:11" s="648" customFormat="1" ht="24.95" customHeight="1">
      <c r="A281" s="693" t="s">
        <v>1578</v>
      </c>
      <c r="B281" s="711" t="s">
        <v>4201</v>
      </c>
      <c r="C281" s="712" t="s">
        <v>4202</v>
      </c>
      <c r="D281" s="646">
        <f>+'Alimentazione SP P'!I162</f>
        <v>0</v>
      </c>
      <c r="E281" s="646">
        <f>+'Alimentazione SP P'!J162</f>
        <v>0</v>
      </c>
      <c r="F281" s="629"/>
      <c r="G281" s="647"/>
      <c r="J281" s="632"/>
      <c r="K281" s="631"/>
    </row>
    <row r="282" spans="1:11" s="648" customFormat="1" ht="24.95" customHeight="1">
      <c r="A282" s="693" t="s">
        <v>1578</v>
      </c>
      <c r="B282" s="711" t="s">
        <v>4203</v>
      </c>
      <c r="C282" s="712" t="s">
        <v>4204</v>
      </c>
      <c r="D282" s="646">
        <f>+'Alimentazione SP P'!I164+'Alimentazione SP P'!I165+'Alimentazione SP P'!I166+'Alimentazione SP P'!I167</f>
        <v>0</v>
      </c>
      <c r="E282" s="646">
        <f>+'Alimentazione SP P'!J164+'Alimentazione SP P'!J165+'Alimentazione SP P'!J166+'Alimentazione SP P'!J167</f>
        <v>0</v>
      </c>
      <c r="F282" s="629"/>
      <c r="G282" s="647"/>
      <c r="J282" s="632"/>
      <c r="K282" s="631"/>
    </row>
    <row r="283" spans="1:11" s="648" customFormat="1" ht="24.95" customHeight="1">
      <c r="A283" s="643"/>
      <c r="B283" s="707" t="s">
        <v>4205</v>
      </c>
      <c r="C283" s="708" t="s">
        <v>4206</v>
      </c>
      <c r="D283" s="646">
        <f>SUM(D284:D293)</f>
        <v>56845.45</v>
      </c>
      <c r="E283" s="646">
        <f>SUM(E284:E293)</f>
        <v>15626</v>
      </c>
      <c r="F283" s="629"/>
      <c r="G283" s="647"/>
      <c r="J283" s="632"/>
      <c r="K283" s="631"/>
    </row>
    <row r="284" spans="1:11" s="676" customFormat="1" ht="24.95" customHeight="1">
      <c r="A284" s="693" t="s">
        <v>3932</v>
      </c>
      <c r="B284" s="650" t="s">
        <v>4207</v>
      </c>
      <c r="C284" s="651" t="s">
        <v>4208</v>
      </c>
      <c r="D284" s="646">
        <f>'Alimentazione SP P'!I169</f>
        <v>0</v>
      </c>
      <c r="E284" s="646">
        <f>'Alimentazione SP P'!J169</f>
        <v>0</v>
      </c>
      <c r="F284" s="629"/>
      <c r="G284" s="647"/>
      <c r="J284" s="632"/>
      <c r="K284" s="631"/>
    </row>
    <row r="285" spans="1:11" s="676" customFormat="1" ht="24.95" customHeight="1">
      <c r="A285" s="693"/>
      <c r="B285" s="650" t="s">
        <v>4209</v>
      </c>
      <c r="C285" s="651" t="s">
        <v>4210</v>
      </c>
      <c r="D285" s="646">
        <f>'Alimentazione SP P'!I170</f>
        <v>0</v>
      </c>
      <c r="E285" s="646">
        <f>'Alimentazione SP P'!J170</f>
        <v>15626</v>
      </c>
      <c r="F285" s="629"/>
      <c r="G285" s="647"/>
      <c r="J285" s="632"/>
      <c r="K285" s="631"/>
    </row>
    <row r="286" spans="1:11" s="648" customFormat="1" ht="24.95" customHeight="1">
      <c r="A286" s="693" t="s">
        <v>1529</v>
      </c>
      <c r="B286" s="650" t="s">
        <v>4211</v>
      </c>
      <c r="C286" s="651" t="s">
        <v>4212</v>
      </c>
      <c r="D286" s="646">
        <f>+'Alimentazione SP P'!I171</f>
        <v>0</v>
      </c>
      <c r="E286" s="646">
        <f>+'Alimentazione SP P'!J171</f>
        <v>0</v>
      </c>
      <c r="F286" s="629"/>
      <c r="G286" s="647"/>
      <c r="J286" s="632"/>
      <c r="K286" s="631"/>
    </row>
    <row r="287" spans="1:11" s="648" customFormat="1" ht="24.95" customHeight="1">
      <c r="A287" s="723" t="s">
        <v>3932</v>
      </c>
      <c r="B287" s="711" t="s">
        <v>4213</v>
      </c>
      <c r="C287" s="712" t="s">
        <v>4214</v>
      </c>
      <c r="D287" s="646">
        <f>+'Alimentazione SP P'!I172</f>
        <v>0</v>
      </c>
      <c r="E287" s="646">
        <f>+'Alimentazione SP P'!J172</f>
        <v>0</v>
      </c>
      <c r="F287" s="629"/>
      <c r="G287" s="647"/>
      <c r="J287" s="632"/>
      <c r="K287" s="631"/>
    </row>
    <row r="288" spans="1:11" s="676" customFormat="1" ht="24.95" customHeight="1">
      <c r="A288" s="673" t="s">
        <v>3932</v>
      </c>
      <c r="B288" s="724" t="s">
        <v>4215</v>
      </c>
      <c r="C288" s="725" t="s">
        <v>4216</v>
      </c>
      <c r="D288" s="646">
        <f>+'Alimentazione SP P'!I173</f>
        <v>0</v>
      </c>
      <c r="E288" s="646">
        <f>+'Alimentazione SP P'!J173</f>
        <v>0</v>
      </c>
      <c r="F288" s="629"/>
      <c r="G288" s="647"/>
      <c r="J288" s="632"/>
      <c r="K288" s="631"/>
    </row>
    <row r="289" spans="1:11" s="648" customFormat="1" ht="24.95" customHeight="1">
      <c r="A289" s="673" t="s">
        <v>3932</v>
      </c>
      <c r="B289" s="724" t="s">
        <v>4217</v>
      </c>
      <c r="C289" s="725" t="s">
        <v>4218</v>
      </c>
      <c r="D289" s="646">
        <f>+'Alimentazione SP P'!I174</f>
        <v>0</v>
      </c>
      <c r="E289" s="646">
        <f>+'Alimentazione SP P'!J174</f>
        <v>0</v>
      </c>
      <c r="F289" s="629"/>
      <c r="G289" s="647"/>
      <c r="J289" s="632"/>
      <c r="K289" s="631"/>
    </row>
    <row r="290" spans="1:11" s="648" customFormat="1" ht="24.95" customHeight="1">
      <c r="A290" s="673" t="s">
        <v>3932</v>
      </c>
      <c r="B290" s="724" t="s">
        <v>4219</v>
      </c>
      <c r="C290" s="725" t="s">
        <v>4220</v>
      </c>
      <c r="D290" s="646">
        <f>+'Alimentazione SP P'!I175</f>
        <v>0</v>
      </c>
      <c r="E290" s="646">
        <f>+'Alimentazione SP P'!J175</f>
        <v>0</v>
      </c>
      <c r="F290" s="629"/>
      <c r="G290" s="647"/>
      <c r="J290" s="632"/>
      <c r="K290" s="631"/>
    </row>
    <row r="291" spans="1:11" s="648" customFormat="1" ht="24.95" customHeight="1">
      <c r="A291" s="726"/>
      <c r="B291" s="727" t="s">
        <v>4221</v>
      </c>
      <c r="C291" s="728" t="s">
        <v>4222</v>
      </c>
      <c r="D291" s="646">
        <f>+'Alimentazione SP P'!I176</f>
        <v>0</v>
      </c>
      <c r="E291" s="646">
        <f>+'Alimentazione SP P'!J176</f>
        <v>0</v>
      </c>
      <c r="F291" s="629"/>
      <c r="G291" s="647"/>
      <c r="J291" s="632"/>
      <c r="K291" s="631"/>
    </row>
    <row r="292" spans="1:11" s="676" customFormat="1" ht="24.95" customHeight="1">
      <c r="A292" s="729" t="s">
        <v>3932</v>
      </c>
      <c r="B292" s="724" t="s">
        <v>4223</v>
      </c>
      <c r="C292" s="725" t="s">
        <v>4224</v>
      </c>
      <c r="D292" s="646">
        <f>+'Alimentazione SP P'!I177</f>
        <v>0</v>
      </c>
      <c r="E292" s="646">
        <f>+'Alimentazione SP P'!J177</f>
        <v>0</v>
      </c>
      <c r="F292" s="629"/>
      <c r="G292" s="647"/>
      <c r="J292" s="632"/>
      <c r="K292" s="631"/>
    </row>
    <row r="293" spans="1:11" s="676" customFormat="1" ht="24.95" customHeight="1">
      <c r="A293" s="729"/>
      <c r="B293" s="724" t="s">
        <v>4225</v>
      </c>
      <c r="C293" s="725" t="s">
        <v>4226</v>
      </c>
      <c r="D293" s="646">
        <f>+'Alimentazione SP P'!I179+'Alimentazione SP P'!I180+'Alimentazione SP P'!I181+'Alimentazione SP P'!I182+'Alimentazione SP P'!I183</f>
        <v>56845.45</v>
      </c>
      <c r="E293" s="646">
        <f>+'Alimentazione SP P'!J179+'Alimentazione SP P'!J180+'Alimentazione SP P'!J181+'Alimentazione SP P'!J182+'Alimentazione SP P'!J183</f>
        <v>0</v>
      </c>
      <c r="F293" s="629"/>
      <c r="G293" s="647"/>
      <c r="J293" s="632"/>
      <c r="K293" s="631"/>
    </row>
    <row r="294" spans="1:11" s="648" customFormat="1" ht="24.95" customHeight="1">
      <c r="A294" s="643"/>
      <c r="B294" s="707" t="s">
        <v>4227</v>
      </c>
      <c r="C294" s="708" t="s">
        <v>4228</v>
      </c>
      <c r="D294" s="646">
        <f>+'Alimentazione SP P'!I185+'Alimentazione SP P'!I186+'Alimentazione SP P'!I187+'Alimentazione SP P'!I188</f>
        <v>2749.87</v>
      </c>
      <c r="E294" s="646">
        <f>+'Alimentazione SP P'!J185+'Alimentazione SP P'!J186+'Alimentazione SP P'!J187+'Alimentazione SP P'!J188</f>
        <v>0</v>
      </c>
      <c r="F294" s="629"/>
      <c r="G294" s="647"/>
      <c r="J294" s="632"/>
      <c r="K294" s="631"/>
    </row>
    <row r="295" spans="1:11" s="648" customFormat="1" ht="24.95" customHeight="1">
      <c r="A295" s="643"/>
      <c r="B295" s="707" t="s">
        <v>4229</v>
      </c>
      <c r="C295" s="708" t="s">
        <v>4230</v>
      </c>
      <c r="D295" s="646">
        <f>+D296+D306+D307</f>
        <v>2963994</v>
      </c>
      <c r="E295" s="646">
        <f>+E296+E306+E307</f>
        <v>9417115</v>
      </c>
      <c r="F295" s="629"/>
      <c r="G295" s="647"/>
      <c r="J295" s="632"/>
      <c r="K295" s="631"/>
    </row>
    <row r="296" spans="1:11" s="648" customFormat="1" ht="24.95" customHeight="1">
      <c r="A296" s="643"/>
      <c r="B296" s="650" t="s">
        <v>4231</v>
      </c>
      <c r="C296" s="651" t="s">
        <v>4232</v>
      </c>
      <c r="D296" s="646">
        <f>SUM(D297:D305)</f>
        <v>2823758.76</v>
      </c>
      <c r="E296" s="646">
        <f>SUM(E297:E305)</f>
        <v>9267126</v>
      </c>
      <c r="F296" s="629"/>
      <c r="G296" s="647"/>
      <c r="J296" s="632"/>
      <c r="K296" s="631"/>
    </row>
    <row r="297" spans="1:11" s="648" customFormat="1" ht="24.95" customHeight="1">
      <c r="A297" s="643" t="s">
        <v>3932</v>
      </c>
      <c r="B297" s="644" t="s">
        <v>4233</v>
      </c>
      <c r="C297" s="645" t="s">
        <v>4234</v>
      </c>
      <c r="D297" s="646">
        <f>+'Alimentazione SP P'!I191</f>
        <v>0</v>
      </c>
      <c r="E297" s="646">
        <f>+'Alimentazione SP P'!J191</f>
        <v>0</v>
      </c>
      <c r="F297" s="629"/>
      <c r="G297" s="647"/>
      <c r="J297" s="632"/>
      <c r="K297" s="631"/>
    </row>
    <row r="298" spans="1:11" s="648" customFormat="1" ht="24.95" customHeight="1">
      <c r="A298" s="643" t="s">
        <v>3932</v>
      </c>
      <c r="B298" s="644" t="s">
        <v>4235</v>
      </c>
      <c r="C298" s="645" t="s">
        <v>4236</v>
      </c>
      <c r="D298" s="646">
        <f>+'Alimentazione SP P'!I192</f>
        <v>0</v>
      </c>
      <c r="E298" s="646">
        <f>+'Alimentazione SP P'!J192</f>
        <v>0</v>
      </c>
      <c r="F298" s="629"/>
      <c r="G298" s="647"/>
      <c r="J298" s="632"/>
      <c r="K298" s="631"/>
    </row>
    <row r="299" spans="1:11" s="648" customFormat="1" ht="24.95" customHeight="1">
      <c r="A299" s="643" t="s">
        <v>3932</v>
      </c>
      <c r="B299" s="644" t="s">
        <v>4237</v>
      </c>
      <c r="C299" s="645" t="s">
        <v>4238</v>
      </c>
      <c r="D299" s="646">
        <f>+'Alimentazione SP P'!I193</f>
        <v>0</v>
      </c>
      <c r="E299" s="646">
        <f>+'Alimentazione SP P'!J193</f>
        <v>0</v>
      </c>
      <c r="F299" s="629"/>
      <c r="G299" s="647"/>
      <c r="J299" s="632"/>
      <c r="K299" s="631"/>
    </row>
    <row r="300" spans="1:11" s="648" customFormat="1" ht="24.95" customHeight="1">
      <c r="A300" s="643" t="s">
        <v>1529</v>
      </c>
      <c r="B300" s="644" t="s">
        <v>4239</v>
      </c>
      <c r="C300" s="645" t="s">
        <v>4240</v>
      </c>
      <c r="D300" s="646">
        <f>+'Alimentazione SP P'!I194</f>
        <v>0</v>
      </c>
      <c r="E300" s="646">
        <f>+'Alimentazione SP P'!J194</f>
        <v>183223</v>
      </c>
      <c r="F300" s="629"/>
      <c r="G300" s="647"/>
      <c r="J300" s="632"/>
      <c r="K300" s="631"/>
    </row>
    <row r="301" spans="1:11" s="648" customFormat="1" ht="24.95" customHeight="1">
      <c r="A301" s="661" t="s">
        <v>1529</v>
      </c>
      <c r="B301" s="644" t="s">
        <v>4241</v>
      </c>
      <c r="C301" s="645" t="s">
        <v>4242</v>
      </c>
      <c r="D301" s="646">
        <f>+'Alimentazione SP P'!I196+'Alimentazione SP P'!I197+'Alimentazione SP P'!I198</f>
        <v>1493863.98</v>
      </c>
      <c r="E301" s="646">
        <f>+'Alimentazione SP P'!J196+'Alimentazione SP P'!J197+'Alimentazione SP P'!J198</f>
        <v>3589225</v>
      </c>
      <c r="F301" s="629"/>
      <c r="G301" s="647"/>
      <c r="J301" s="632"/>
      <c r="K301" s="631"/>
    </row>
    <row r="302" spans="1:11" s="648" customFormat="1" ht="24.95" customHeight="1">
      <c r="A302" s="661" t="s">
        <v>1529</v>
      </c>
      <c r="B302" s="644" t="s">
        <v>4243</v>
      </c>
      <c r="C302" s="645" t="s">
        <v>4244</v>
      </c>
      <c r="D302" s="646">
        <f>+'Alimentazione SP P'!I200+'Alimentazione SP P'!I201+'Alimentazione SP P'!I202</f>
        <v>1329894.78</v>
      </c>
      <c r="E302" s="646">
        <f>+'Alimentazione SP P'!J200+'Alimentazione SP P'!J201+'Alimentazione SP P'!J202</f>
        <v>5494678</v>
      </c>
      <c r="F302" s="629"/>
      <c r="G302" s="647"/>
      <c r="J302" s="632"/>
      <c r="K302" s="631"/>
    </row>
    <row r="303" spans="1:11" s="676" customFormat="1" ht="24.95" customHeight="1">
      <c r="A303" s="678" t="s">
        <v>3932</v>
      </c>
      <c r="B303" s="644" t="s">
        <v>4245</v>
      </c>
      <c r="C303" s="679" t="s">
        <v>4246</v>
      </c>
      <c r="D303" s="646">
        <f>+'Alimentazione SP P'!I203</f>
        <v>0</v>
      </c>
      <c r="E303" s="646">
        <f>+'Alimentazione SP P'!J203</f>
        <v>0</v>
      </c>
      <c r="G303" s="647"/>
      <c r="J303" s="632"/>
      <c r="K303" s="631"/>
    </row>
    <row r="304" spans="1:11" s="648" customFormat="1" ht="24.95" customHeight="1">
      <c r="A304" s="673" t="s">
        <v>1529</v>
      </c>
      <c r="B304" s="644" t="s">
        <v>4247</v>
      </c>
      <c r="C304" s="116" t="s">
        <v>4248</v>
      </c>
      <c r="D304" s="646">
        <f>+'Alimentazione SP P'!I204</f>
        <v>0</v>
      </c>
      <c r="E304" s="646">
        <f>+'Alimentazione SP P'!J204</f>
        <v>0</v>
      </c>
      <c r="F304" s="629"/>
      <c r="G304" s="647"/>
      <c r="J304" s="632"/>
      <c r="K304" s="631"/>
    </row>
    <row r="305" spans="1:11" s="676" customFormat="1" ht="24.95" customHeight="1">
      <c r="A305" s="680" t="s">
        <v>3932</v>
      </c>
      <c r="B305" s="730" t="s">
        <v>4249</v>
      </c>
      <c r="C305" s="116" t="s">
        <v>4250</v>
      </c>
      <c r="D305" s="646">
        <f>+'Alimentazione SP P'!I205</f>
        <v>0</v>
      </c>
      <c r="E305" s="646">
        <f>+'Alimentazione SP P'!J205</f>
        <v>0</v>
      </c>
      <c r="G305" s="647"/>
      <c r="J305" s="632"/>
      <c r="K305" s="631"/>
    </row>
    <row r="306" spans="1:11" s="648" customFormat="1" ht="24.95" customHeight="1">
      <c r="A306" s="693" t="s">
        <v>1578</v>
      </c>
      <c r="B306" s="650" t="s">
        <v>4251</v>
      </c>
      <c r="C306" s="651" t="s">
        <v>4252</v>
      </c>
      <c r="D306" s="646">
        <f>+'Alimentazione SP P'!I207+'Alimentazione SP P'!I208+'Alimentazione SP P'!I209</f>
        <v>140235.24000000002</v>
      </c>
      <c r="E306" s="646">
        <f>+'Alimentazione SP P'!J207+'Alimentazione SP P'!J208+'Alimentazione SP P'!J209</f>
        <v>149989</v>
      </c>
      <c r="F306" s="629"/>
      <c r="G306" s="647"/>
      <c r="J306" s="632"/>
      <c r="K306" s="631"/>
    </row>
    <row r="307" spans="1:11" s="648" customFormat="1" ht="24.95" customHeight="1">
      <c r="A307" s="661"/>
      <c r="B307" s="650" t="s">
        <v>4253</v>
      </c>
      <c r="C307" s="651" t="s">
        <v>4254</v>
      </c>
      <c r="D307" s="646">
        <f>SUM(D308:D312)</f>
        <v>0</v>
      </c>
      <c r="E307" s="646">
        <f>SUM(E308:E312)</f>
        <v>0</v>
      </c>
      <c r="F307" s="629"/>
      <c r="G307" s="647"/>
      <c r="J307" s="632"/>
      <c r="K307" s="631"/>
    </row>
    <row r="308" spans="1:11" s="648" customFormat="1" ht="24.95" customHeight="1">
      <c r="A308" s="661" t="s">
        <v>3932</v>
      </c>
      <c r="B308" s="662" t="s">
        <v>4255</v>
      </c>
      <c r="C308" s="663" t="s">
        <v>4256</v>
      </c>
      <c r="D308" s="646">
        <f>+'Alimentazione SP P'!I211</f>
        <v>0</v>
      </c>
      <c r="E308" s="646">
        <f>+'Alimentazione SP P'!J211</f>
        <v>0</v>
      </c>
      <c r="F308" s="629"/>
      <c r="G308" s="647"/>
      <c r="J308" s="632"/>
      <c r="K308" s="631"/>
    </row>
    <row r="309" spans="1:11" s="648" customFormat="1" ht="24.95" customHeight="1">
      <c r="A309" s="661" t="s">
        <v>3932</v>
      </c>
      <c r="B309" s="662" t="s">
        <v>4257</v>
      </c>
      <c r="C309" s="663" t="s">
        <v>4258</v>
      </c>
      <c r="D309" s="646">
        <f>+'Alimentazione SP P'!I212</f>
        <v>0</v>
      </c>
      <c r="E309" s="646">
        <f>+'Alimentazione SP P'!J212</f>
        <v>0</v>
      </c>
      <c r="F309" s="629"/>
      <c r="G309" s="647"/>
      <c r="J309" s="632"/>
      <c r="K309" s="631"/>
    </row>
    <row r="310" spans="1:11" s="648" customFormat="1" ht="24.95" customHeight="1">
      <c r="A310" s="661" t="s">
        <v>3932</v>
      </c>
      <c r="B310" s="662" t="s">
        <v>4259</v>
      </c>
      <c r="C310" s="663" t="s">
        <v>4260</v>
      </c>
      <c r="D310" s="646">
        <f>+'Alimentazione SP P'!I213</f>
        <v>0</v>
      </c>
      <c r="E310" s="646">
        <f>+'Alimentazione SP P'!J213</f>
        <v>0</v>
      </c>
      <c r="F310" s="629"/>
      <c r="G310" s="647"/>
      <c r="J310" s="632"/>
      <c r="K310" s="631"/>
    </row>
    <row r="311" spans="1:11" s="648" customFormat="1" ht="24.95" customHeight="1">
      <c r="A311" s="661" t="s">
        <v>3932</v>
      </c>
      <c r="B311" s="662" t="s">
        <v>4261</v>
      </c>
      <c r="C311" s="663" t="s">
        <v>4262</v>
      </c>
      <c r="D311" s="646">
        <f>+'Alimentazione SP P'!I214</f>
        <v>0</v>
      </c>
      <c r="E311" s="646">
        <f>+'Alimentazione SP P'!J214</f>
        <v>0</v>
      </c>
      <c r="F311" s="629"/>
      <c r="G311" s="647"/>
      <c r="J311" s="632"/>
      <c r="K311" s="631"/>
    </row>
    <row r="312" spans="1:11" s="648" customFormat="1" ht="24.95" customHeight="1">
      <c r="A312" s="661" t="s">
        <v>3932</v>
      </c>
      <c r="B312" s="662" t="s">
        <v>4263</v>
      </c>
      <c r="C312" s="663" t="s">
        <v>4264</v>
      </c>
      <c r="D312" s="646">
        <f>+'Alimentazione SP P'!I215</f>
        <v>0</v>
      </c>
      <c r="E312" s="646">
        <f>+'Alimentazione SP P'!J215</f>
        <v>0</v>
      </c>
      <c r="F312" s="629"/>
      <c r="G312" s="647"/>
      <c r="J312" s="632"/>
      <c r="K312" s="631"/>
    </row>
    <row r="313" spans="1:11" s="648" customFormat="1" ht="24.95" customHeight="1">
      <c r="A313" s="643"/>
      <c r="B313" s="707" t="s">
        <v>4265</v>
      </c>
      <c r="C313" s="708" t="s">
        <v>4266</v>
      </c>
      <c r="D313" s="646">
        <f>+D314+D315+D316</f>
        <v>77.13</v>
      </c>
      <c r="E313" s="646">
        <f>+E314+E315+E316</f>
        <v>77</v>
      </c>
      <c r="F313" s="629"/>
      <c r="G313" s="647"/>
      <c r="J313" s="632"/>
      <c r="K313" s="631"/>
    </row>
    <row r="314" spans="1:11" s="648" customFormat="1" ht="24.95" customHeight="1">
      <c r="A314" s="643"/>
      <c r="B314" s="650" t="s">
        <v>4267</v>
      </c>
      <c r="C314" s="651" t="s">
        <v>4268</v>
      </c>
      <c r="D314" s="646">
        <f>+'Alimentazione SP P'!I217</f>
        <v>0</v>
      </c>
      <c r="E314" s="646">
        <f>+'Alimentazione SP P'!J217</f>
        <v>0</v>
      </c>
      <c r="F314" s="629"/>
      <c r="G314" s="647"/>
      <c r="J314" s="632"/>
      <c r="K314" s="631"/>
    </row>
    <row r="315" spans="1:11" s="648" customFormat="1" ht="24.95" customHeight="1">
      <c r="A315" s="643"/>
      <c r="B315" s="650" t="s">
        <v>4269</v>
      </c>
      <c r="C315" s="651" t="s">
        <v>4270</v>
      </c>
      <c r="D315" s="646">
        <f>+'Alimentazione SP P'!I218</f>
        <v>0</v>
      </c>
      <c r="E315" s="646">
        <f>+'Alimentazione SP P'!J218</f>
        <v>0</v>
      </c>
      <c r="F315" s="629"/>
      <c r="G315" s="647"/>
      <c r="J315" s="632"/>
      <c r="K315" s="631"/>
    </row>
    <row r="316" spans="1:11" s="648" customFormat="1" ht="24.95" customHeight="1">
      <c r="A316" s="643"/>
      <c r="B316" s="650" t="s">
        <v>4271</v>
      </c>
      <c r="C316" s="651" t="s">
        <v>4272</v>
      </c>
      <c r="D316" s="646">
        <f>+'Alimentazione SP P'!I220+'Alimentazione SP P'!I221+'Alimentazione SP P'!I222</f>
        <v>77.13</v>
      </c>
      <c r="E316" s="646">
        <f>+'Alimentazione SP P'!J220+'Alimentazione SP P'!J221+'Alimentazione SP P'!J222</f>
        <v>77</v>
      </c>
      <c r="F316" s="629"/>
      <c r="G316" s="647"/>
      <c r="J316" s="632"/>
      <c r="K316" s="631"/>
    </row>
    <row r="317" spans="1:11" s="648" customFormat="1" ht="24.95" customHeight="1">
      <c r="A317" s="643"/>
      <c r="B317" s="707" t="s">
        <v>4273</v>
      </c>
      <c r="C317" s="708" t="s">
        <v>4274</v>
      </c>
      <c r="D317" s="646">
        <f>+D318+D321</f>
        <v>7636023.4299999997</v>
      </c>
      <c r="E317" s="646">
        <f>+E318+E321</f>
        <v>8963304</v>
      </c>
      <c r="F317" s="629"/>
      <c r="G317" s="647"/>
      <c r="J317" s="632"/>
      <c r="K317" s="631"/>
    </row>
    <row r="318" spans="1:11" s="648" customFormat="1" ht="25.5">
      <c r="A318" s="643"/>
      <c r="B318" s="650" t="s">
        <v>4275</v>
      </c>
      <c r="C318" s="651" t="s">
        <v>4276</v>
      </c>
      <c r="D318" s="646">
        <f>+D319+D320</f>
        <v>0</v>
      </c>
      <c r="E318" s="646">
        <f>+E319+E320</f>
        <v>0</v>
      </c>
      <c r="F318" s="629"/>
      <c r="G318" s="647"/>
      <c r="J318" s="632"/>
      <c r="K318" s="631"/>
    </row>
    <row r="319" spans="1:11" s="648" customFormat="1" ht="21">
      <c r="A319" s="643"/>
      <c r="B319" s="718" t="s">
        <v>4277</v>
      </c>
      <c r="C319" s="731" t="s">
        <v>4278</v>
      </c>
      <c r="D319" s="646">
        <f>+'Alimentazione SP P'!I226+'Alimentazione SP P'!I227</f>
        <v>0</v>
      </c>
      <c r="E319" s="646">
        <f>+'Alimentazione SP P'!J226+'Alimentazione SP P'!J227</f>
        <v>0</v>
      </c>
      <c r="F319" s="629"/>
      <c r="G319" s="647"/>
      <c r="J319" s="632"/>
      <c r="K319" s="631"/>
    </row>
    <row r="320" spans="1:11" s="648" customFormat="1" ht="21">
      <c r="A320" s="643"/>
      <c r="B320" s="718" t="s">
        <v>4279</v>
      </c>
      <c r="C320" s="731" t="s">
        <v>4280</v>
      </c>
      <c r="D320" s="646">
        <f>+'Alimentazione SP P'!I228</f>
        <v>0</v>
      </c>
      <c r="E320" s="646">
        <f>+'Alimentazione SP P'!J228</f>
        <v>0</v>
      </c>
      <c r="F320" s="629"/>
      <c r="G320" s="647"/>
      <c r="J320" s="632"/>
      <c r="K320" s="631"/>
    </row>
    <row r="321" spans="1:11" s="648" customFormat="1" ht="21">
      <c r="A321" s="643"/>
      <c r="B321" s="718" t="s">
        <v>4281</v>
      </c>
      <c r="C321" s="731" t="s">
        <v>4282</v>
      </c>
      <c r="D321" s="646">
        <f>+D322+D323</f>
        <v>7636023.4299999997</v>
      </c>
      <c r="E321" s="646">
        <f>+E322+E323</f>
        <v>8963304</v>
      </c>
      <c r="F321" s="629"/>
      <c r="G321" s="647"/>
      <c r="J321" s="632"/>
      <c r="K321" s="631"/>
    </row>
    <row r="322" spans="1:11" s="648" customFormat="1" ht="21">
      <c r="A322" s="643"/>
      <c r="B322" s="732" t="s">
        <v>4283</v>
      </c>
      <c r="C322" s="733" t="s">
        <v>4284</v>
      </c>
      <c r="D322" s="646">
        <f>+'Alimentazione SP P'!I231+'Alimentazione SP P'!I232+'Alimentazione SP P'!I233+'Alimentazione SP P'!I234+'Alimentazione SP P'!I235+'Alimentazione SP P'!I236</f>
        <v>7994766.8499999996</v>
      </c>
      <c r="E322" s="646">
        <f>+'Alimentazione SP P'!J231+'Alimentazione SP P'!J232+'Alimentazione SP P'!J233+'Alimentazione SP P'!J234+'Alimentazione SP P'!J235+'Alimentazione SP P'!J236</f>
        <v>9317599</v>
      </c>
      <c r="F322" s="629"/>
      <c r="G322" s="647"/>
      <c r="J322" s="632"/>
      <c r="K322" s="631"/>
    </row>
    <row r="323" spans="1:11" s="648" customFormat="1" ht="21">
      <c r="A323" s="643"/>
      <c r="B323" s="732" t="s">
        <v>4285</v>
      </c>
      <c r="C323" s="733" t="s">
        <v>4286</v>
      </c>
      <c r="D323" s="646">
        <f>+'Alimentazione SP P'!I237</f>
        <v>-358743.42</v>
      </c>
      <c r="E323" s="646">
        <f>+'Alimentazione SP P'!J237</f>
        <v>-354295</v>
      </c>
      <c r="F323" s="629"/>
      <c r="G323" s="647"/>
      <c r="J323" s="632"/>
      <c r="K323" s="631"/>
    </row>
    <row r="324" spans="1:11" s="648" customFormat="1" ht="24.95" customHeight="1">
      <c r="A324" s="643"/>
      <c r="B324" s="707" t="s">
        <v>4287</v>
      </c>
      <c r="C324" s="708" t="s">
        <v>4288</v>
      </c>
      <c r="D324" s="646">
        <f>+'Alimentazione SP P'!I239+'Alimentazione SP P'!I240</f>
        <v>0</v>
      </c>
      <c r="E324" s="646">
        <f>+'Alimentazione SP P'!J239+'Alimentazione SP P'!J240</f>
        <v>0</v>
      </c>
      <c r="F324" s="629"/>
      <c r="G324" s="647"/>
      <c r="J324" s="632"/>
      <c r="K324" s="631"/>
    </row>
    <row r="325" spans="1:11" s="648" customFormat="1" ht="24.95" customHeight="1">
      <c r="A325" s="643"/>
      <c r="B325" s="707" t="s">
        <v>4289</v>
      </c>
      <c r="C325" s="708" t="s">
        <v>4290</v>
      </c>
      <c r="D325" s="646">
        <f>+SUM('Alimentazione SP P'!I242:I250)</f>
        <v>2591014.25</v>
      </c>
      <c r="E325" s="646">
        <f>+SUM('Alimentazione SP P'!J242:J250)</f>
        <v>2391236</v>
      </c>
      <c r="F325" s="629"/>
      <c r="G325" s="647"/>
      <c r="J325" s="632"/>
      <c r="K325" s="631"/>
    </row>
    <row r="326" spans="1:11" s="648" customFormat="1" ht="24.95" customHeight="1">
      <c r="A326" s="643"/>
      <c r="B326" s="707" t="s">
        <v>4291</v>
      </c>
      <c r="C326" s="708" t="s">
        <v>4292</v>
      </c>
      <c r="D326" s="646">
        <f>+SUM('Alimentazione SP P'!I252:I260)</f>
        <v>2204254.1</v>
      </c>
      <c r="E326" s="646">
        <f>+SUM('Alimentazione SP P'!J252:J260)</f>
        <v>2061812</v>
      </c>
      <c r="F326" s="629"/>
      <c r="G326" s="647"/>
      <c r="J326" s="632"/>
      <c r="K326" s="631"/>
    </row>
    <row r="327" spans="1:11" s="648" customFormat="1" ht="24.95" customHeight="1">
      <c r="A327" s="643"/>
      <c r="B327" s="707" t="s">
        <v>4293</v>
      </c>
      <c r="C327" s="708" t="s">
        <v>4294</v>
      </c>
      <c r="D327" s="646">
        <f>+D328+D329+D330+D331</f>
        <v>6533778.5800000001</v>
      </c>
      <c r="E327" s="646">
        <f>+E328+E329+E330+E331</f>
        <v>5913796</v>
      </c>
      <c r="F327" s="629"/>
      <c r="G327" s="647"/>
      <c r="J327" s="632"/>
      <c r="K327" s="631"/>
    </row>
    <row r="328" spans="1:11" s="648" customFormat="1" ht="24.95" customHeight="1">
      <c r="A328" s="643"/>
      <c r="B328" s="650" t="s">
        <v>4295</v>
      </c>
      <c r="C328" s="651" t="s">
        <v>4296</v>
      </c>
      <c r="D328" s="646">
        <f>+'Alimentazione SP P'!I262</f>
        <v>0</v>
      </c>
      <c r="E328" s="646">
        <f>+'Alimentazione SP P'!J262</f>
        <v>0</v>
      </c>
      <c r="F328" s="629"/>
      <c r="G328" s="647"/>
      <c r="J328" s="632"/>
      <c r="K328" s="631"/>
    </row>
    <row r="329" spans="1:11" s="648" customFormat="1" ht="24.95" customHeight="1">
      <c r="A329" s="643"/>
      <c r="B329" s="650" t="s">
        <v>4297</v>
      </c>
      <c r="C329" s="651" t="s">
        <v>4298</v>
      </c>
      <c r="D329" s="646">
        <f>+'Alimentazione SP P'!I264+'Alimentazione SP P'!I265</f>
        <v>5383951.6900000004</v>
      </c>
      <c r="E329" s="646">
        <f>+'Alimentazione SP P'!J264+'Alimentazione SP P'!J265</f>
        <v>4481514</v>
      </c>
      <c r="F329" s="629"/>
      <c r="G329" s="647"/>
      <c r="J329" s="632"/>
      <c r="K329" s="631"/>
    </row>
    <row r="330" spans="1:11" s="648" customFormat="1" ht="24.95" customHeight="1">
      <c r="A330" s="643"/>
      <c r="B330" s="650" t="s">
        <v>4299</v>
      </c>
      <c r="C330" s="651" t="s">
        <v>4300</v>
      </c>
      <c r="D330" s="646">
        <f>+'Alimentazione SP P'!I267+'Alimentazione SP P'!I268</f>
        <v>0</v>
      </c>
      <c r="E330" s="646">
        <f>+'Alimentazione SP P'!J267+'Alimentazione SP P'!J268</f>
        <v>0</v>
      </c>
      <c r="F330" s="629"/>
      <c r="G330" s="647"/>
      <c r="J330" s="632"/>
      <c r="K330" s="631"/>
    </row>
    <row r="331" spans="1:11" s="648" customFormat="1" ht="24.95" customHeight="1" thickBot="1">
      <c r="A331" s="653"/>
      <c r="B331" s="691" t="s">
        <v>4301</v>
      </c>
      <c r="C331" s="692" t="s">
        <v>4302</v>
      </c>
      <c r="D331" s="646">
        <f>+SUM('Alimentazione SP P'!I270:I289)</f>
        <v>1149826.8900000001</v>
      </c>
      <c r="E331" s="646">
        <f>+SUM('Alimentazione SP P'!J270:J289)</f>
        <v>1432282</v>
      </c>
      <c r="F331" s="665"/>
      <c r="G331" s="677"/>
      <c r="J331" s="632"/>
      <c r="K331" s="631"/>
    </row>
    <row r="332" spans="1:11" s="648" customFormat="1" ht="24.95" customHeight="1">
      <c r="A332" s="699"/>
      <c r="B332" s="626" t="s">
        <v>4303</v>
      </c>
      <c r="C332" s="627" t="s">
        <v>4304</v>
      </c>
      <c r="D332" s="660">
        <f>+D333+D336</f>
        <v>7070.53</v>
      </c>
      <c r="E332" s="660">
        <f>+E333+E336</f>
        <v>15795</v>
      </c>
      <c r="F332" s="629"/>
      <c r="G332" s="647"/>
      <c r="J332" s="632"/>
      <c r="K332" s="631"/>
    </row>
    <row r="333" spans="1:11" s="648" customFormat="1" ht="24.95" customHeight="1">
      <c r="A333" s="643"/>
      <c r="B333" s="707" t="s">
        <v>4305</v>
      </c>
      <c r="C333" s="708" t="s">
        <v>4306</v>
      </c>
      <c r="D333" s="646">
        <f>+D334+D335</f>
        <v>7070.53</v>
      </c>
      <c r="E333" s="646">
        <f>+E334+E335</f>
        <v>15795</v>
      </c>
      <c r="F333" s="629"/>
      <c r="G333" s="647"/>
      <c r="J333" s="632"/>
      <c r="K333" s="631"/>
    </row>
    <row r="334" spans="1:11" s="648" customFormat="1" ht="24.95" customHeight="1">
      <c r="A334" s="643"/>
      <c r="B334" s="650" t="s">
        <v>4307</v>
      </c>
      <c r="C334" s="651" t="s">
        <v>4308</v>
      </c>
      <c r="D334" s="646">
        <f>+'Alimentazione SP P'!I292</f>
        <v>7070.53</v>
      </c>
      <c r="E334" s="646">
        <f>+'Alimentazione SP P'!J292</f>
        <v>15795</v>
      </c>
      <c r="F334" s="629"/>
      <c r="G334" s="647"/>
      <c r="J334" s="632"/>
      <c r="K334" s="631"/>
    </row>
    <row r="335" spans="1:11" s="648" customFormat="1" ht="24.95" customHeight="1">
      <c r="A335" s="693" t="s">
        <v>1529</v>
      </c>
      <c r="B335" s="650" t="s">
        <v>4309</v>
      </c>
      <c r="C335" s="651" t="s">
        <v>4310</v>
      </c>
      <c r="D335" s="646">
        <f>+'Alimentazione SP P'!I293</f>
        <v>0</v>
      </c>
      <c r="E335" s="646">
        <f>+'Alimentazione SP P'!J293</f>
        <v>0</v>
      </c>
      <c r="F335" s="629"/>
      <c r="G335" s="647"/>
      <c r="J335" s="632"/>
      <c r="K335" s="631"/>
    </row>
    <row r="336" spans="1:11" s="648" customFormat="1" ht="24.95" customHeight="1">
      <c r="A336" s="643"/>
      <c r="B336" s="707" t="s">
        <v>4311</v>
      </c>
      <c r="C336" s="708" t="s">
        <v>4312</v>
      </c>
      <c r="D336" s="646">
        <f>+D337+D338+D339</f>
        <v>0</v>
      </c>
      <c r="E336" s="646">
        <f>+E337+E338+E339</f>
        <v>0</v>
      </c>
      <c r="F336" s="629"/>
      <c r="G336" s="647"/>
      <c r="J336" s="632"/>
      <c r="K336" s="631"/>
    </row>
    <row r="337" spans="1:20" s="648" customFormat="1" ht="24.95" customHeight="1">
      <c r="A337" s="643"/>
      <c r="B337" s="650" t="s">
        <v>4313</v>
      </c>
      <c r="C337" s="651" t="s">
        <v>4314</v>
      </c>
      <c r="D337" s="646">
        <f>+'Alimentazione SP P'!I295</f>
        <v>0</v>
      </c>
      <c r="E337" s="646">
        <f>+'Alimentazione SP P'!J295</f>
        <v>0</v>
      </c>
      <c r="F337" s="629"/>
      <c r="G337" s="647"/>
      <c r="J337" s="632"/>
      <c r="K337" s="631"/>
    </row>
    <row r="338" spans="1:20" s="648" customFormat="1" ht="24.95" customHeight="1">
      <c r="A338" s="734" t="s">
        <v>1529</v>
      </c>
      <c r="B338" s="715" t="s">
        <v>4315</v>
      </c>
      <c r="C338" s="716" t="s">
        <v>4316</v>
      </c>
      <c r="D338" s="646">
        <f>+'Alimentazione SP P'!I296</f>
        <v>0</v>
      </c>
      <c r="E338" s="646">
        <f>+'Alimentazione SP P'!J296</f>
        <v>0</v>
      </c>
      <c r="F338" s="629"/>
      <c r="G338" s="647"/>
      <c r="J338" s="632"/>
      <c r="K338" s="631"/>
    </row>
    <row r="339" spans="1:20" s="676" customFormat="1" ht="37.5" customHeight="1">
      <c r="A339" s="643"/>
      <c r="B339" s="650" t="s">
        <v>4317</v>
      </c>
      <c r="C339" s="651" t="s">
        <v>4318</v>
      </c>
      <c r="D339" s="646">
        <f>+'Alimentazione SP P'!I297</f>
        <v>0</v>
      </c>
      <c r="E339" s="646">
        <f>+'Alimentazione SP P'!J297</f>
        <v>0</v>
      </c>
      <c r="F339" s="629"/>
      <c r="G339" s="647"/>
      <c r="J339" s="632"/>
      <c r="K339" s="631"/>
    </row>
    <row r="340" spans="1:20" s="648" customFormat="1" ht="24.95" customHeight="1" thickBot="1">
      <c r="A340" s="695"/>
      <c r="B340" s="735" t="s">
        <v>4319</v>
      </c>
      <c r="C340" s="736" t="s">
        <v>4320</v>
      </c>
      <c r="D340" s="737">
        <f>+D332+D275+D271+D238+D214</f>
        <v>103726944.69</v>
      </c>
      <c r="E340" s="737">
        <f>+E332+E275+E271+E238+E214</f>
        <v>113602319</v>
      </c>
      <c r="F340" s="629"/>
      <c r="G340" s="647"/>
      <c r="J340" s="632"/>
      <c r="K340" s="631"/>
    </row>
    <row r="341" spans="1:20" s="648" customFormat="1" ht="24.95" customHeight="1">
      <c r="A341" s="699"/>
      <c r="B341" s="626" t="s">
        <v>4321</v>
      </c>
      <c r="C341" s="700" t="s">
        <v>4322</v>
      </c>
      <c r="D341" s="701">
        <f>+D342+D343+D344+D345+D346</f>
        <v>2762644.45</v>
      </c>
      <c r="E341" s="701">
        <f>+E342+E343+E344+E345+E346</f>
        <v>2806963</v>
      </c>
      <c r="F341" s="629"/>
      <c r="G341" s="647"/>
      <c r="J341" s="632"/>
      <c r="K341" s="631"/>
    </row>
    <row r="342" spans="1:20" s="648" customFormat="1" ht="24.95" customHeight="1">
      <c r="A342" s="643"/>
      <c r="B342" s="702" t="s">
        <v>4323</v>
      </c>
      <c r="C342" s="703" t="s">
        <v>4324</v>
      </c>
      <c r="D342" s="646">
        <f>+'Alimentazione SP P'!I304</f>
        <v>22159.96</v>
      </c>
      <c r="E342" s="646">
        <f>+'Alimentazione SP P'!J304</f>
        <v>66479</v>
      </c>
      <c r="F342" s="629"/>
      <c r="G342" s="647"/>
      <c r="J342" s="632"/>
      <c r="K342" s="631"/>
    </row>
    <row r="343" spans="1:20" s="648" customFormat="1" ht="24.95" customHeight="1">
      <c r="A343" s="643"/>
      <c r="B343" s="702" t="s">
        <v>4325</v>
      </c>
      <c r="C343" s="703" t="s">
        <v>4326</v>
      </c>
      <c r="D343" s="646">
        <f>+'Alimentazione SP P'!I305</f>
        <v>0</v>
      </c>
      <c r="E343" s="646">
        <f>+'Alimentazione SP P'!J305</f>
        <v>0</v>
      </c>
      <c r="F343" s="629"/>
      <c r="G343" s="647"/>
      <c r="J343" s="632"/>
      <c r="K343" s="631"/>
    </row>
    <row r="344" spans="1:20" s="648" customFormat="1" ht="24.95" customHeight="1">
      <c r="A344" s="643"/>
      <c r="B344" s="702" t="s">
        <v>4327</v>
      </c>
      <c r="C344" s="703" t="s">
        <v>4328</v>
      </c>
      <c r="D344" s="646">
        <f>+'Alimentazione SP P'!I306</f>
        <v>1463350.4</v>
      </c>
      <c r="E344" s="646">
        <f>+'Alimentazione SP P'!J306</f>
        <v>1463350</v>
      </c>
      <c r="F344" s="629"/>
      <c r="G344" s="647"/>
      <c r="J344" s="632"/>
      <c r="K344" s="631"/>
    </row>
    <row r="345" spans="1:20" s="648" customFormat="1" ht="24.95" customHeight="1">
      <c r="A345" s="704"/>
      <c r="B345" s="702" t="s">
        <v>4329</v>
      </c>
      <c r="C345" s="703" t="s">
        <v>4330</v>
      </c>
      <c r="D345" s="646">
        <f>+'Alimentazione SP P'!I307</f>
        <v>0</v>
      </c>
      <c r="E345" s="646">
        <f>+'Alimentazione SP P'!J307</f>
        <v>0</v>
      </c>
      <c r="F345" s="629"/>
      <c r="G345" s="647"/>
      <c r="J345" s="632"/>
      <c r="K345" s="631"/>
    </row>
    <row r="346" spans="1:20" s="648" customFormat="1" ht="24.95" customHeight="1" thickBot="1">
      <c r="A346" s="653"/>
      <c r="B346" s="705" t="s">
        <v>4331</v>
      </c>
      <c r="C346" s="706" t="s">
        <v>4332</v>
      </c>
      <c r="D346" s="738">
        <f>+'Alimentazione SP P'!I309+'Alimentazione SP P'!I310+'Alimentazione SP P'!I311+'Alimentazione SP P'!I312+'Alimentazione SP P'!I313+'Alimentazione SP P'!I314+'Alimentazione SP P'!I315</f>
        <v>1277134.0900000001</v>
      </c>
      <c r="E346" s="738">
        <f>+'Alimentazione SP P'!J309+'Alimentazione SP P'!J310+'Alimentazione SP P'!J311+'Alimentazione SP P'!J312+'Alimentazione SP P'!J313+'Alimentazione SP P'!J314+'Alimentazione SP P'!J315</f>
        <v>1277134</v>
      </c>
      <c r="F346" s="629"/>
      <c r="G346" s="647"/>
      <c r="J346" s="632"/>
      <c r="K346" s="631"/>
    </row>
    <row r="347" spans="1:20" customFormat="1" ht="12.75">
      <c r="A347" s="130"/>
      <c r="B347" s="129"/>
      <c r="C347" s="130"/>
      <c r="D347" s="130"/>
      <c r="E347" s="130"/>
      <c r="F347" s="130"/>
      <c r="G347" s="130"/>
      <c r="H347" s="130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31"/>
      <c r="T347" s="387"/>
    </row>
    <row r="348" spans="1:20" customFormat="1" ht="12.75">
      <c r="A348" s="130"/>
      <c r="B348" s="77" t="s">
        <v>2097</v>
      </c>
      <c r="C348" s="130"/>
      <c r="D348" s="130"/>
      <c r="E348" s="130"/>
      <c r="F348" s="130"/>
      <c r="G348" s="130"/>
      <c r="H348" s="130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387"/>
    </row>
    <row r="349" spans="1:20" customFormat="1" ht="15">
      <c r="A349" s="388"/>
      <c r="B349" s="60"/>
      <c r="C349" s="130"/>
      <c r="D349" s="130"/>
      <c r="E349" s="130"/>
      <c r="F349" s="130"/>
      <c r="G349" s="130"/>
      <c r="H349" s="130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31"/>
      <c r="T349" s="387"/>
    </row>
    <row r="350" spans="1:20" customFormat="1" ht="12.75">
      <c r="A350" s="388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389"/>
    </row>
    <row r="351" spans="1:20" customFormat="1" ht="12.75">
      <c r="A351" s="388"/>
      <c r="B351" s="70" t="s">
        <v>2098</v>
      </c>
      <c r="C351" s="131"/>
      <c r="D351" s="131" t="s">
        <v>3460</v>
      </c>
      <c r="E351" s="131"/>
      <c r="G351" s="131"/>
      <c r="H351" s="131"/>
      <c r="I351" s="131"/>
      <c r="L351" s="131"/>
      <c r="M351" s="131"/>
      <c r="N351" s="131"/>
      <c r="O351" s="131"/>
      <c r="P351" s="131"/>
      <c r="Q351" s="131"/>
      <c r="R351" s="77"/>
      <c r="S351" s="77"/>
      <c r="T351" s="357"/>
    </row>
    <row r="352" spans="1:20" customFormat="1" ht="12.75">
      <c r="A352" s="130"/>
      <c r="B352" s="77"/>
      <c r="C352" s="77"/>
      <c r="D352" s="77"/>
      <c r="E352" s="77"/>
      <c r="F352" s="77"/>
      <c r="G352" s="77"/>
      <c r="H352" s="77"/>
      <c r="I352" s="77"/>
      <c r="L352" s="77"/>
      <c r="M352" s="77"/>
      <c r="N352" s="77"/>
      <c r="O352" s="77"/>
      <c r="P352" s="77"/>
      <c r="Q352" s="77"/>
      <c r="R352" s="77"/>
      <c r="S352" s="77"/>
      <c r="T352" s="389"/>
    </row>
    <row r="353" spans="1:27" customFormat="1" ht="15">
      <c r="A353" s="130"/>
      <c r="B353" s="70" t="s">
        <v>2099</v>
      </c>
      <c r="C353" s="130"/>
      <c r="D353" s="131" t="s">
        <v>2099</v>
      </c>
      <c r="E353" s="131"/>
      <c r="F353" s="131"/>
      <c r="G353" s="131"/>
      <c r="H353" s="131"/>
      <c r="I353" s="131"/>
      <c r="L353" s="131"/>
      <c r="M353" s="131"/>
      <c r="N353" s="131"/>
      <c r="O353" s="131"/>
      <c r="P353" s="131"/>
      <c r="Q353" s="131"/>
      <c r="R353" s="131"/>
      <c r="S353" s="131"/>
      <c r="T353" s="390"/>
    </row>
    <row r="354" spans="1:27" customFormat="1" ht="12.75">
      <c r="A354" s="130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389"/>
    </row>
    <row r="355" spans="1:27" customFormat="1" ht="12.75">
      <c r="A355" s="130"/>
      <c r="B355" s="77"/>
      <c r="C355" s="77"/>
      <c r="D355" s="131" t="s">
        <v>3461</v>
      </c>
      <c r="E355" s="77"/>
      <c r="J355" s="131"/>
      <c r="K355" s="131"/>
      <c r="L355" s="131"/>
      <c r="M355" s="131"/>
      <c r="N355" s="131"/>
      <c r="O355" s="131"/>
      <c r="P355" s="131"/>
      <c r="Q355" s="131"/>
      <c r="R355" s="131"/>
      <c r="S355" s="131"/>
      <c r="T355" s="389"/>
    </row>
    <row r="356" spans="1:27" customFormat="1" ht="15">
      <c r="A356" s="130"/>
      <c r="B356" s="77"/>
      <c r="C356" s="77"/>
      <c r="E356" s="131"/>
      <c r="F356" s="131"/>
      <c r="N356" s="61"/>
      <c r="O356" s="61"/>
      <c r="P356" s="61"/>
      <c r="Q356" s="61"/>
      <c r="R356" s="61"/>
      <c r="T356" s="389"/>
    </row>
    <row r="357" spans="1:27" customFormat="1" ht="15">
      <c r="A357" s="61"/>
      <c r="B357" s="60"/>
      <c r="C357" s="131"/>
      <c r="D357" s="131" t="s">
        <v>2099</v>
      </c>
      <c r="E357" s="77"/>
      <c r="F357" s="77"/>
      <c r="N357" s="61"/>
      <c r="O357" s="61"/>
      <c r="P357" s="61"/>
      <c r="Q357" s="61"/>
      <c r="R357" s="61"/>
      <c r="T357" s="390"/>
    </row>
    <row r="358" spans="1:27" customFormat="1" ht="15">
      <c r="A358" s="61"/>
      <c r="B358" s="77"/>
      <c r="C358" s="77"/>
      <c r="D358" s="77"/>
      <c r="E358" s="77"/>
      <c r="N358" s="61"/>
      <c r="O358" s="61"/>
      <c r="P358" s="61"/>
      <c r="Q358" s="61"/>
      <c r="R358" s="61"/>
      <c r="T358" s="389"/>
    </row>
    <row r="359" spans="1:27" customFormat="1" ht="15">
      <c r="A359" s="61"/>
      <c r="C359" s="61"/>
      <c r="D359" s="61"/>
      <c r="E359" s="61"/>
      <c r="F359" s="131"/>
      <c r="G359" s="131"/>
      <c r="H359" s="131"/>
      <c r="N359" s="61"/>
      <c r="O359" s="61"/>
      <c r="P359" s="61"/>
      <c r="Q359" s="61"/>
      <c r="R359" s="61"/>
      <c r="U359" s="61"/>
    </row>
    <row r="360" spans="1:27" customFormat="1" ht="15">
      <c r="N360" s="61"/>
      <c r="O360" s="61"/>
      <c r="P360" s="61"/>
      <c r="Q360" s="61"/>
      <c r="R360" s="61"/>
    </row>
    <row r="361" spans="1:27" customFormat="1" ht="15">
      <c r="S361" s="61"/>
      <c r="T361" s="61"/>
      <c r="U361" s="61"/>
      <c r="V361" s="61"/>
      <c r="W361" s="61"/>
    </row>
    <row r="362" spans="1:27" customFormat="1" ht="15">
      <c r="S362" s="62"/>
      <c r="T362" s="62"/>
      <c r="U362" s="62"/>
      <c r="V362" s="62"/>
      <c r="W362" s="62"/>
    </row>
    <row r="363" spans="1:27" customFormat="1" ht="15">
      <c r="S363" s="62"/>
      <c r="T363" s="62"/>
      <c r="U363" s="62"/>
      <c r="V363" s="62"/>
      <c r="W363" s="62"/>
    </row>
    <row r="364" spans="1:27" s="126" customFormat="1">
      <c r="A364" s="76"/>
      <c r="B364" s="76"/>
      <c r="C364" s="75"/>
      <c r="D364" s="575"/>
      <c r="E364" s="75"/>
      <c r="F364" s="613"/>
      <c r="G364" s="739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</row>
    <row r="365" spans="1:27" s="126" customFormat="1">
      <c r="A365" s="76"/>
      <c r="B365" s="76"/>
      <c r="C365" s="75"/>
      <c r="D365" s="575"/>
      <c r="E365" s="75"/>
      <c r="F365" s="613"/>
      <c r="G365" s="739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</row>
    <row r="366" spans="1:27" s="126" customFormat="1">
      <c r="A366" s="76"/>
      <c r="B366" s="76"/>
      <c r="C366" s="75"/>
      <c r="D366" s="575"/>
      <c r="E366" s="75"/>
      <c r="F366" s="613"/>
      <c r="G366" s="739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</row>
    <row r="367" spans="1:27" s="126" customFormat="1">
      <c r="A367" s="76"/>
      <c r="B367" s="76"/>
      <c r="C367" s="75"/>
      <c r="D367" s="575"/>
      <c r="E367" s="75"/>
      <c r="F367" s="613"/>
      <c r="G367" s="739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</row>
    <row r="368" spans="1:27" s="126" customFormat="1">
      <c r="A368" s="76"/>
      <c r="B368" s="76"/>
      <c r="C368" s="75"/>
      <c r="D368" s="575"/>
      <c r="E368" s="75"/>
      <c r="F368" s="613"/>
      <c r="G368" s="739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</row>
    <row r="369" spans="1:27" s="126" customFormat="1">
      <c r="A369" s="76"/>
      <c r="B369" s="76"/>
      <c r="C369" s="75"/>
      <c r="D369" s="575"/>
      <c r="E369" s="75"/>
      <c r="F369" s="613"/>
      <c r="G369" s="739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</row>
    <row r="370" spans="1:27" s="126" customFormat="1">
      <c r="A370" s="76"/>
      <c r="B370" s="76"/>
      <c r="C370" s="75"/>
      <c r="D370" s="575"/>
      <c r="E370" s="75"/>
      <c r="F370" s="613"/>
      <c r="G370" s="739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</row>
    <row r="371" spans="1:27" s="126" customFormat="1">
      <c r="A371" s="76"/>
      <c r="B371" s="76"/>
      <c r="C371" s="75"/>
      <c r="D371" s="575"/>
      <c r="E371" s="75"/>
      <c r="F371" s="613"/>
      <c r="G371" s="739"/>
      <c r="H371" s="75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</row>
    <row r="372" spans="1:27" s="126" customFormat="1">
      <c r="A372" s="76"/>
      <c r="B372" s="76"/>
      <c r="C372" s="75"/>
      <c r="D372" s="575"/>
      <c r="E372" s="75"/>
      <c r="F372" s="613"/>
      <c r="G372" s="739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</row>
    <row r="373" spans="1:27" s="126" customFormat="1">
      <c r="A373" s="76"/>
      <c r="B373" s="76"/>
      <c r="C373" s="75"/>
      <c r="D373" s="575"/>
      <c r="E373" s="75"/>
      <c r="F373" s="613"/>
      <c r="G373" s="739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</row>
    <row r="374" spans="1:27" s="126" customFormat="1">
      <c r="A374" s="76"/>
      <c r="B374" s="76"/>
      <c r="C374" s="75"/>
      <c r="D374" s="575"/>
      <c r="E374" s="75"/>
      <c r="F374" s="613"/>
      <c r="G374" s="739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</row>
    <row r="375" spans="1:27" s="126" customFormat="1">
      <c r="A375" s="76"/>
      <c r="B375" s="76"/>
      <c r="C375" s="75"/>
      <c r="D375" s="575"/>
      <c r="E375" s="75"/>
      <c r="F375" s="613"/>
      <c r="G375" s="739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</row>
    <row r="376" spans="1:27" s="126" customFormat="1">
      <c r="A376" s="76"/>
      <c r="B376" s="76"/>
      <c r="C376" s="75"/>
      <c r="D376" s="575"/>
      <c r="E376" s="75"/>
      <c r="F376" s="613"/>
      <c r="G376" s="739"/>
      <c r="H376" s="75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</row>
    <row r="377" spans="1:27" s="126" customFormat="1">
      <c r="A377" s="76"/>
      <c r="B377" s="76"/>
      <c r="C377" s="75"/>
      <c r="D377" s="575"/>
      <c r="E377" s="75"/>
      <c r="F377" s="613"/>
      <c r="G377" s="739"/>
      <c r="H377" s="75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</row>
    <row r="378" spans="1:27" s="126" customFormat="1">
      <c r="A378" s="76"/>
      <c r="B378" s="76"/>
      <c r="C378" s="75"/>
      <c r="D378" s="575"/>
      <c r="E378" s="75"/>
      <c r="F378" s="613"/>
      <c r="G378" s="739"/>
      <c r="H378" s="75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</row>
    <row r="379" spans="1:27" s="126" customFormat="1">
      <c r="A379" s="76"/>
      <c r="B379" s="76"/>
      <c r="C379" s="75"/>
      <c r="D379" s="575"/>
      <c r="E379" s="75"/>
      <c r="F379" s="613"/>
      <c r="G379" s="739"/>
      <c r="H379" s="75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</row>
    <row r="380" spans="1:27" s="126" customFormat="1">
      <c r="A380" s="76"/>
      <c r="B380" s="76"/>
      <c r="C380" s="75"/>
      <c r="D380" s="575"/>
      <c r="E380" s="75"/>
      <c r="F380" s="613"/>
      <c r="G380" s="739"/>
      <c r="H380" s="75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</row>
    <row r="381" spans="1:27" s="126" customFormat="1">
      <c r="A381" s="76"/>
      <c r="B381" s="76"/>
      <c r="C381" s="75"/>
      <c r="D381" s="575"/>
      <c r="E381" s="75"/>
      <c r="F381" s="613"/>
      <c r="G381" s="739"/>
      <c r="H381" s="75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</row>
    <row r="382" spans="1:27" s="126" customFormat="1">
      <c r="A382" s="76"/>
      <c r="B382" s="76"/>
      <c r="C382" s="75"/>
      <c r="D382" s="575"/>
      <c r="E382" s="75"/>
      <c r="F382" s="613"/>
      <c r="G382" s="739"/>
      <c r="H382" s="75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</row>
    <row r="383" spans="1:27" s="126" customFormat="1">
      <c r="A383" s="76"/>
      <c r="B383" s="76"/>
      <c r="C383" s="75"/>
      <c r="D383" s="575"/>
      <c r="E383" s="75"/>
      <c r="F383" s="613"/>
      <c r="G383" s="739"/>
      <c r="H383" s="75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</row>
    <row r="384" spans="1:27" s="126" customFormat="1">
      <c r="A384" s="76"/>
      <c r="B384" s="76"/>
      <c r="C384" s="75"/>
      <c r="D384" s="575"/>
      <c r="E384" s="75"/>
      <c r="F384" s="613"/>
      <c r="G384" s="739"/>
      <c r="H384" s="75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</row>
    <row r="385" spans="1:27" s="126" customFormat="1">
      <c r="A385" s="76"/>
      <c r="B385" s="76"/>
      <c r="C385" s="75"/>
      <c r="D385" s="575"/>
      <c r="E385" s="75"/>
      <c r="F385" s="613"/>
      <c r="G385" s="739"/>
      <c r="H385" s="75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</row>
    <row r="386" spans="1:27" s="126" customFormat="1">
      <c r="A386" s="76"/>
      <c r="B386" s="76"/>
      <c r="C386" s="75"/>
      <c r="D386" s="575"/>
      <c r="E386" s="75"/>
      <c r="F386" s="613"/>
      <c r="G386" s="739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</row>
    <row r="387" spans="1:27" s="126" customFormat="1">
      <c r="A387" s="76"/>
      <c r="B387" s="76"/>
      <c r="C387" s="75"/>
      <c r="D387" s="575"/>
      <c r="E387" s="75"/>
      <c r="F387" s="613"/>
      <c r="G387" s="739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</row>
    <row r="388" spans="1:27" s="126" customFormat="1">
      <c r="A388" s="76"/>
      <c r="B388" s="76"/>
      <c r="C388" s="75"/>
      <c r="D388" s="575"/>
      <c r="E388" s="75"/>
      <c r="F388" s="613"/>
      <c r="G388" s="739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</row>
    <row r="389" spans="1:27" s="126" customFormat="1">
      <c r="A389" s="76"/>
      <c r="B389" s="76"/>
      <c r="C389" s="75"/>
      <c r="D389" s="575"/>
      <c r="E389" s="75"/>
      <c r="F389" s="613"/>
      <c r="G389" s="739"/>
      <c r="H389" s="75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</row>
    <row r="390" spans="1:27" s="126" customFormat="1">
      <c r="A390" s="76"/>
      <c r="B390" s="76"/>
      <c r="C390" s="75"/>
      <c r="D390" s="575"/>
      <c r="E390" s="75"/>
      <c r="F390" s="613"/>
      <c r="G390" s="739"/>
      <c r="H390" s="75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</row>
    <row r="391" spans="1:27" s="126" customFormat="1">
      <c r="A391" s="76"/>
      <c r="B391" s="76"/>
      <c r="C391" s="75"/>
      <c r="D391" s="575"/>
      <c r="E391" s="75"/>
      <c r="F391" s="613"/>
      <c r="G391" s="739"/>
      <c r="H391" s="75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</row>
    <row r="392" spans="1:27" s="126" customFormat="1">
      <c r="A392" s="76"/>
      <c r="B392" s="76"/>
      <c r="C392" s="75"/>
      <c r="D392" s="575"/>
      <c r="E392" s="75"/>
      <c r="F392" s="613"/>
      <c r="G392" s="739"/>
      <c r="H392" s="75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</row>
    <row r="393" spans="1:27" s="126" customFormat="1">
      <c r="A393" s="76"/>
      <c r="B393" s="76"/>
      <c r="C393" s="75"/>
      <c r="D393" s="575"/>
      <c r="E393" s="75"/>
      <c r="F393" s="613"/>
      <c r="G393" s="739"/>
      <c r="H393" s="75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</row>
    <row r="394" spans="1:27" s="126" customFormat="1">
      <c r="A394" s="76"/>
      <c r="B394" s="76"/>
      <c r="C394" s="75"/>
      <c r="D394" s="575"/>
      <c r="E394" s="75"/>
      <c r="F394" s="613"/>
      <c r="G394" s="739"/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</row>
    <row r="395" spans="1:27" s="126" customFormat="1">
      <c r="A395" s="76"/>
      <c r="B395" s="76"/>
      <c r="C395" s="75"/>
      <c r="D395" s="575"/>
      <c r="E395" s="75"/>
      <c r="F395" s="613"/>
      <c r="G395" s="739"/>
      <c r="H395" s="75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</row>
    <row r="396" spans="1:27" s="126" customFormat="1">
      <c r="A396" s="76"/>
      <c r="B396" s="76"/>
      <c r="C396" s="75"/>
      <c r="D396" s="575"/>
      <c r="E396" s="75"/>
      <c r="F396" s="613"/>
      <c r="G396" s="739"/>
      <c r="H396" s="75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</row>
    <row r="397" spans="1:27" s="126" customFormat="1">
      <c r="A397" s="76"/>
      <c r="B397" s="76"/>
      <c r="C397" s="75"/>
      <c r="D397" s="575"/>
      <c r="E397" s="75"/>
      <c r="F397" s="613"/>
      <c r="G397" s="739"/>
      <c r="H397" s="75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</row>
    <row r="398" spans="1:27" s="126" customFormat="1">
      <c r="A398" s="76"/>
      <c r="B398" s="76"/>
      <c r="C398" s="75"/>
      <c r="D398" s="575"/>
      <c r="E398" s="75"/>
      <c r="F398" s="613"/>
      <c r="G398" s="739"/>
      <c r="H398" s="75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</row>
    <row r="399" spans="1:27" s="126" customFormat="1">
      <c r="A399" s="76"/>
      <c r="B399" s="76"/>
      <c r="C399" s="75"/>
      <c r="D399" s="575"/>
      <c r="E399" s="75"/>
      <c r="F399" s="613"/>
      <c r="G399" s="739"/>
      <c r="H399" s="75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</row>
    <row r="400" spans="1:27" s="126" customFormat="1">
      <c r="A400" s="76"/>
      <c r="B400" s="76"/>
      <c r="C400" s="75"/>
      <c r="D400" s="575"/>
      <c r="E400" s="75"/>
      <c r="F400" s="613"/>
      <c r="G400" s="739"/>
      <c r="H400" s="75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</row>
    <row r="401" spans="1:27" s="126" customFormat="1">
      <c r="A401" s="76"/>
      <c r="B401" s="76"/>
      <c r="C401" s="75"/>
      <c r="D401" s="575"/>
      <c r="E401" s="75"/>
      <c r="F401" s="613"/>
      <c r="G401" s="739"/>
      <c r="H401" s="75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</row>
    <row r="402" spans="1:27" s="126" customFormat="1">
      <c r="A402" s="76"/>
      <c r="B402" s="76"/>
      <c r="C402" s="75"/>
      <c r="D402" s="575"/>
      <c r="E402" s="75"/>
      <c r="F402" s="613"/>
      <c r="G402" s="739"/>
      <c r="H402" s="75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</row>
    <row r="403" spans="1:27" s="126" customFormat="1">
      <c r="A403" s="76"/>
      <c r="B403" s="76"/>
      <c r="C403" s="75"/>
      <c r="D403" s="575"/>
      <c r="E403" s="75"/>
      <c r="F403" s="613"/>
      <c r="G403" s="739"/>
      <c r="H403" s="75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</row>
    <row r="404" spans="1:27" s="126" customFormat="1">
      <c r="A404" s="76"/>
      <c r="B404" s="76"/>
      <c r="C404" s="75"/>
      <c r="D404" s="575"/>
      <c r="E404" s="75"/>
      <c r="F404" s="613"/>
      <c r="G404" s="739"/>
      <c r="H404" s="75"/>
      <c r="I404" s="75"/>
      <c r="J404" s="75"/>
      <c r="K404" s="75"/>
      <c r="L404" s="75"/>
      <c r="M404" s="75"/>
      <c r="N404" s="75"/>
      <c r="O404" s="75"/>
      <c r="P404" s="75"/>
      <c r="Q404" s="75"/>
      <c r="R404" s="75"/>
      <c r="S404" s="75"/>
      <c r="T404" s="75"/>
      <c r="U404" s="75"/>
      <c r="V404" s="75"/>
      <c r="W404" s="75"/>
      <c r="X404" s="75"/>
      <c r="Y404" s="75"/>
      <c r="Z404" s="75"/>
      <c r="AA404" s="75"/>
    </row>
    <row r="405" spans="1:27" s="126" customFormat="1">
      <c r="A405" s="76"/>
      <c r="B405" s="76"/>
      <c r="C405" s="75"/>
      <c r="D405" s="575"/>
      <c r="E405" s="75"/>
      <c r="F405" s="613"/>
      <c r="G405" s="739"/>
      <c r="H405" s="75"/>
      <c r="I405" s="75"/>
      <c r="J405" s="75"/>
      <c r="K405" s="75"/>
      <c r="L405" s="75"/>
      <c r="M405" s="75"/>
      <c r="N405" s="75"/>
      <c r="O405" s="75"/>
      <c r="P405" s="75"/>
      <c r="Q405" s="75"/>
      <c r="R405" s="75"/>
      <c r="S405" s="75"/>
      <c r="T405" s="75"/>
      <c r="U405" s="75"/>
      <c r="V405" s="75"/>
      <c r="W405" s="75"/>
      <c r="X405" s="75"/>
      <c r="Y405" s="75"/>
      <c r="Z405" s="75"/>
      <c r="AA405" s="75"/>
    </row>
    <row r="406" spans="1:27" s="126" customFormat="1">
      <c r="A406" s="76"/>
      <c r="B406" s="76"/>
      <c r="C406" s="75"/>
      <c r="D406" s="575"/>
      <c r="E406" s="75"/>
      <c r="F406" s="613"/>
      <c r="G406" s="739"/>
      <c r="H406" s="75"/>
      <c r="I406" s="75"/>
      <c r="J406" s="75"/>
      <c r="K406" s="75"/>
      <c r="L406" s="75"/>
      <c r="M406" s="75"/>
      <c r="N406" s="75"/>
      <c r="O406" s="75"/>
      <c r="P406" s="75"/>
      <c r="Q406" s="75"/>
      <c r="R406" s="75"/>
      <c r="S406" s="75"/>
      <c r="T406" s="75"/>
      <c r="U406" s="75"/>
      <c r="V406" s="75"/>
      <c r="W406" s="75"/>
      <c r="X406" s="75"/>
      <c r="Y406" s="75"/>
      <c r="Z406" s="75"/>
      <c r="AA406" s="75"/>
    </row>
    <row r="407" spans="1:27" s="126" customFormat="1">
      <c r="A407" s="76"/>
      <c r="B407" s="76"/>
      <c r="C407" s="75"/>
      <c r="D407" s="575"/>
      <c r="E407" s="75"/>
      <c r="F407" s="613"/>
      <c r="G407" s="739"/>
      <c r="H407" s="75"/>
      <c r="I407" s="75"/>
      <c r="J407" s="75"/>
      <c r="K407" s="75"/>
      <c r="L407" s="75"/>
      <c r="M407" s="75"/>
      <c r="N407" s="75"/>
      <c r="O407" s="75"/>
      <c r="P407" s="75"/>
      <c r="Q407" s="75"/>
      <c r="R407" s="75"/>
      <c r="S407" s="75"/>
      <c r="T407" s="75"/>
      <c r="U407" s="75"/>
      <c r="V407" s="75"/>
      <c r="W407" s="75"/>
      <c r="X407" s="75"/>
      <c r="Y407" s="75"/>
      <c r="Z407" s="75"/>
      <c r="AA407" s="75"/>
    </row>
    <row r="408" spans="1:27" s="126" customFormat="1">
      <c r="A408" s="76"/>
      <c r="B408" s="76"/>
      <c r="C408" s="75"/>
      <c r="D408" s="575"/>
      <c r="E408" s="75"/>
      <c r="F408" s="613"/>
      <c r="G408" s="739"/>
      <c r="H408" s="75"/>
      <c r="I408" s="75"/>
      <c r="J408" s="75"/>
      <c r="K408" s="75"/>
      <c r="L408" s="75"/>
      <c r="M408" s="75"/>
      <c r="N408" s="75"/>
      <c r="O408" s="75"/>
      <c r="P408" s="75"/>
      <c r="Q408" s="75"/>
      <c r="R408" s="75"/>
      <c r="S408" s="75"/>
      <c r="T408" s="75"/>
      <c r="U408" s="75"/>
      <c r="V408" s="75"/>
      <c r="W408" s="75"/>
      <c r="X408" s="75"/>
      <c r="Y408" s="75"/>
      <c r="Z408" s="75"/>
      <c r="AA408" s="75"/>
    </row>
    <row r="409" spans="1:27" s="126" customFormat="1">
      <c r="A409" s="76"/>
      <c r="B409" s="76"/>
      <c r="C409" s="75"/>
      <c r="D409" s="575"/>
      <c r="E409" s="75"/>
      <c r="F409" s="613"/>
      <c r="G409" s="739"/>
      <c r="H409" s="75"/>
      <c r="I409" s="75"/>
      <c r="J409" s="75"/>
      <c r="K409" s="75"/>
      <c r="L409" s="75"/>
      <c r="M409" s="75"/>
      <c r="N409" s="75"/>
      <c r="O409" s="75"/>
      <c r="P409" s="75"/>
      <c r="Q409" s="75"/>
      <c r="R409" s="75"/>
      <c r="S409" s="75"/>
      <c r="T409" s="75"/>
      <c r="U409" s="75"/>
      <c r="V409" s="75"/>
      <c r="W409" s="75"/>
      <c r="X409" s="75"/>
      <c r="Y409" s="75"/>
      <c r="Z409" s="75"/>
      <c r="AA409" s="75"/>
    </row>
    <row r="410" spans="1:27" s="126" customFormat="1">
      <c r="A410" s="76"/>
      <c r="B410" s="76"/>
      <c r="C410" s="75"/>
      <c r="D410" s="575"/>
      <c r="E410" s="75"/>
      <c r="F410" s="613"/>
      <c r="G410" s="739"/>
      <c r="H410" s="75"/>
      <c r="I410" s="75"/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</row>
    <row r="411" spans="1:27" s="126" customFormat="1">
      <c r="A411" s="76"/>
      <c r="B411" s="76"/>
      <c r="C411" s="75"/>
      <c r="D411" s="575"/>
      <c r="E411" s="75"/>
      <c r="F411" s="613"/>
      <c r="G411" s="739"/>
      <c r="H411" s="75"/>
      <c r="I411" s="75"/>
      <c r="J411" s="75"/>
      <c r="K411" s="75"/>
      <c r="L411" s="75"/>
      <c r="M411" s="75"/>
      <c r="N411" s="75"/>
      <c r="O411" s="75"/>
      <c r="P411" s="75"/>
      <c r="Q411" s="75"/>
      <c r="R411" s="75"/>
      <c r="S411" s="75"/>
      <c r="T411" s="75"/>
      <c r="U411" s="75"/>
      <c r="V411" s="75"/>
      <c r="W411" s="75"/>
      <c r="X411" s="75"/>
      <c r="Y411" s="75"/>
      <c r="Z411" s="75"/>
      <c r="AA411" s="75"/>
    </row>
    <row r="412" spans="1:27" s="126" customFormat="1">
      <c r="A412" s="76"/>
      <c r="B412" s="76"/>
      <c r="C412" s="75"/>
      <c r="D412" s="575"/>
      <c r="E412" s="75"/>
      <c r="F412" s="613"/>
      <c r="G412" s="739"/>
      <c r="H412" s="75"/>
      <c r="I412" s="75"/>
      <c r="J412" s="75"/>
      <c r="K412" s="75"/>
      <c r="L412" s="75"/>
      <c r="M412" s="75"/>
      <c r="N412" s="75"/>
      <c r="O412" s="75"/>
      <c r="P412" s="75"/>
      <c r="Q412" s="75"/>
      <c r="R412" s="75"/>
      <c r="S412" s="75"/>
      <c r="T412" s="75"/>
      <c r="U412" s="75"/>
      <c r="V412" s="75"/>
      <c r="W412" s="75"/>
      <c r="X412" s="75"/>
      <c r="Y412" s="75"/>
      <c r="Z412" s="75"/>
      <c r="AA412" s="75"/>
    </row>
    <row r="413" spans="1:27" s="126" customFormat="1">
      <c r="A413" s="76"/>
      <c r="B413" s="76"/>
      <c r="C413" s="75"/>
      <c r="D413" s="575"/>
      <c r="E413" s="75"/>
      <c r="F413" s="613"/>
      <c r="G413" s="739"/>
      <c r="H413" s="75"/>
      <c r="I413" s="75"/>
      <c r="J413" s="75"/>
      <c r="K413" s="75"/>
      <c r="L413" s="75"/>
      <c r="M413" s="75"/>
      <c r="N413" s="75"/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  <c r="AA413" s="75"/>
    </row>
    <row r="414" spans="1:27" s="126" customFormat="1">
      <c r="A414" s="76"/>
      <c r="B414" s="76"/>
      <c r="C414" s="75"/>
      <c r="D414" s="575"/>
      <c r="E414" s="75"/>
      <c r="F414" s="613"/>
      <c r="G414" s="739"/>
      <c r="H414" s="75"/>
      <c r="I414" s="75"/>
      <c r="J414" s="75"/>
      <c r="K414" s="75"/>
      <c r="L414" s="75"/>
      <c r="M414" s="75"/>
      <c r="N414" s="75"/>
      <c r="O414" s="75"/>
      <c r="P414" s="75"/>
      <c r="Q414" s="75"/>
      <c r="R414" s="75"/>
      <c r="S414" s="75"/>
      <c r="T414" s="75"/>
      <c r="U414" s="75"/>
      <c r="V414" s="75"/>
      <c r="W414" s="75"/>
      <c r="X414" s="75"/>
      <c r="Y414" s="75"/>
      <c r="Z414" s="75"/>
      <c r="AA414" s="75"/>
    </row>
    <row r="415" spans="1:27" s="126" customFormat="1">
      <c r="A415" s="76"/>
      <c r="B415" s="76"/>
      <c r="C415" s="75"/>
      <c r="D415" s="575"/>
      <c r="E415" s="75"/>
      <c r="F415" s="613"/>
      <c r="G415" s="739"/>
      <c r="H415" s="75"/>
      <c r="I415" s="75"/>
      <c r="J415" s="75"/>
      <c r="K415" s="75"/>
      <c r="L415" s="75"/>
      <c r="M415" s="75"/>
      <c r="N415" s="75"/>
      <c r="O415" s="75"/>
      <c r="P415" s="75"/>
      <c r="Q415" s="75"/>
      <c r="R415" s="75"/>
      <c r="S415" s="75"/>
      <c r="T415" s="75"/>
      <c r="U415" s="75"/>
      <c r="V415" s="75"/>
      <c r="W415" s="75"/>
      <c r="X415" s="75"/>
      <c r="Y415" s="75"/>
      <c r="Z415" s="75"/>
      <c r="AA415" s="75"/>
    </row>
    <row r="416" spans="1:27" s="126" customFormat="1">
      <c r="A416" s="76"/>
      <c r="B416" s="76"/>
      <c r="C416" s="75"/>
      <c r="D416" s="575"/>
      <c r="E416" s="75"/>
      <c r="F416" s="613"/>
      <c r="G416" s="739"/>
      <c r="H416" s="75"/>
      <c r="I416" s="75"/>
      <c r="J416" s="75"/>
      <c r="K416" s="75"/>
      <c r="L416" s="75"/>
      <c r="M416" s="75"/>
      <c r="N416" s="75"/>
      <c r="O416" s="75"/>
      <c r="P416" s="75"/>
      <c r="Q416" s="75"/>
      <c r="R416" s="75"/>
      <c r="S416" s="75"/>
      <c r="T416" s="75"/>
      <c r="U416" s="75"/>
      <c r="V416" s="75"/>
      <c r="W416" s="75"/>
      <c r="X416" s="75"/>
      <c r="Y416" s="75"/>
      <c r="Z416" s="75"/>
      <c r="AA416" s="75"/>
    </row>
    <row r="417" spans="1:27" s="126" customFormat="1">
      <c r="A417" s="76"/>
      <c r="B417" s="76"/>
      <c r="C417" s="75"/>
      <c r="D417" s="575"/>
      <c r="E417" s="75"/>
      <c r="F417" s="613"/>
      <c r="G417" s="739"/>
      <c r="H417" s="75"/>
      <c r="I417" s="75"/>
      <c r="J417" s="75"/>
      <c r="K417" s="75"/>
      <c r="L417" s="75"/>
      <c r="M417" s="75"/>
      <c r="N417" s="75"/>
      <c r="O417" s="75"/>
      <c r="P417" s="75"/>
      <c r="Q417" s="75"/>
      <c r="R417" s="75"/>
      <c r="S417" s="75"/>
      <c r="T417" s="75"/>
      <c r="U417" s="75"/>
      <c r="V417" s="75"/>
      <c r="W417" s="75"/>
      <c r="X417" s="75"/>
      <c r="Y417" s="75"/>
      <c r="Z417" s="75"/>
      <c r="AA417" s="75"/>
    </row>
    <row r="418" spans="1:27" s="126" customFormat="1">
      <c r="A418" s="76"/>
      <c r="B418" s="76"/>
      <c r="C418" s="75"/>
      <c r="D418" s="575"/>
      <c r="E418" s="75"/>
      <c r="F418" s="613"/>
      <c r="G418" s="739"/>
      <c r="H418" s="75"/>
      <c r="I418" s="75"/>
      <c r="J418" s="75"/>
      <c r="K418" s="75"/>
      <c r="L418" s="75"/>
      <c r="M418" s="75"/>
      <c r="N418" s="75"/>
      <c r="O418" s="75"/>
      <c r="P418" s="75"/>
      <c r="Q418" s="75"/>
      <c r="R418" s="75"/>
      <c r="S418" s="75"/>
      <c r="T418" s="75"/>
      <c r="U418" s="75"/>
      <c r="V418" s="75"/>
      <c r="W418" s="75"/>
      <c r="X418" s="75"/>
      <c r="Y418" s="75"/>
      <c r="Z418" s="75"/>
      <c r="AA418" s="75"/>
    </row>
    <row r="419" spans="1:27" s="126" customFormat="1">
      <c r="A419" s="76"/>
      <c r="B419" s="76"/>
      <c r="C419" s="75"/>
      <c r="D419" s="575"/>
      <c r="E419" s="75"/>
      <c r="F419" s="613"/>
      <c r="G419" s="739"/>
      <c r="H419" s="75"/>
      <c r="I419" s="75"/>
      <c r="J419" s="75"/>
      <c r="K419" s="75"/>
      <c r="L419" s="75"/>
      <c r="M419" s="75"/>
      <c r="N419" s="75"/>
      <c r="O419" s="75"/>
      <c r="P419" s="75"/>
      <c r="Q419" s="75"/>
      <c r="R419" s="75"/>
      <c r="S419" s="75"/>
      <c r="T419" s="75"/>
      <c r="U419" s="75"/>
      <c r="V419" s="75"/>
      <c r="W419" s="75"/>
      <c r="X419" s="75"/>
      <c r="Y419" s="75"/>
      <c r="Z419" s="75"/>
      <c r="AA419" s="75"/>
    </row>
    <row r="420" spans="1:27" s="126" customFormat="1">
      <c r="A420" s="76"/>
      <c r="B420" s="76"/>
      <c r="C420" s="75"/>
      <c r="D420" s="575"/>
      <c r="E420" s="75"/>
      <c r="F420" s="613"/>
      <c r="G420" s="739"/>
      <c r="H420" s="75"/>
      <c r="I420" s="75"/>
      <c r="J420" s="75"/>
      <c r="K420" s="75"/>
      <c r="L420" s="75"/>
      <c r="M420" s="75"/>
      <c r="N420" s="75"/>
      <c r="O420" s="75"/>
      <c r="P420" s="75"/>
      <c r="Q420" s="75"/>
      <c r="R420" s="75"/>
      <c r="S420" s="75"/>
      <c r="T420" s="75"/>
      <c r="U420" s="75"/>
      <c r="V420" s="75"/>
      <c r="W420" s="75"/>
      <c r="X420" s="75"/>
      <c r="Y420" s="75"/>
      <c r="Z420" s="75"/>
      <c r="AA420" s="75"/>
    </row>
    <row r="421" spans="1:27" s="126" customFormat="1">
      <c r="A421" s="76"/>
      <c r="B421" s="76"/>
      <c r="C421" s="75"/>
      <c r="D421" s="575"/>
      <c r="E421" s="75"/>
      <c r="F421" s="613"/>
      <c r="G421" s="739"/>
      <c r="H421" s="75"/>
      <c r="I421" s="75"/>
      <c r="J421" s="75"/>
      <c r="K421" s="75"/>
      <c r="L421" s="75"/>
      <c r="M421" s="75"/>
      <c r="N421" s="75"/>
      <c r="O421" s="75"/>
      <c r="P421" s="75"/>
      <c r="Q421" s="75"/>
      <c r="R421" s="75"/>
      <c r="S421" s="75"/>
      <c r="T421" s="75"/>
      <c r="U421" s="75"/>
      <c r="V421" s="75"/>
      <c r="W421" s="75"/>
      <c r="X421" s="75"/>
      <c r="Y421" s="75"/>
      <c r="Z421" s="75"/>
      <c r="AA421" s="75"/>
    </row>
    <row r="422" spans="1:27" s="126" customFormat="1">
      <c r="A422" s="76"/>
      <c r="B422" s="76"/>
      <c r="C422" s="75"/>
      <c r="D422" s="575"/>
      <c r="E422" s="75"/>
      <c r="F422" s="613"/>
      <c r="G422" s="739"/>
      <c r="H422" s="75"/>
      <c r="I422" s="75"/>
      <c r="J422" s="75"/>
      <c r="K422" s="75"/>
      <c r="L422" s="75"/>
      <c r="M422" s="75"/>
      <c r="N422" s="75"/>
      <c r="O422" s="75"/>
      <c r="P422" s="75"/>
      <c r="Q422" s="75"/>
      <c r="R422" s="75"/>
      <c r="S422" s="75"/>
      <c r="T422" s="75"/>
      <c r="U422" s="75"/>
      <c r="V422" s="75"/>
      <c r="W422" s="75"/>
      <c r="X422" s="75"/>
      <c r="Y422" s="75"/>
      <c r="Z422" s="75"/>
      <c r="AA422" s="75"/>
    </row>
    <row r="423" spans="1:27" s="126" customFormat="1">
      <c r="A423" s="76"/>
      <c r="B423" s="76"/>
      <c r="C423" s="75"/>
      <c r="D423" s="575"/>
      <c r="E423" s="75"/>
      <c r="F423" s="613"/>
      <c r="G423" s="739"/>
      <c r="H423" s="75"/>
      <c r="I423" s="75"/>
      <c r="J423" s="75"/>
      <c r="K423" s="75"/>
      <c r="L423" s="75"/>
      <c r="M423" s="75"/>
      <c r="N423" s="75"/>
      <c r="O423" s="75"/>
      <c r="P423" s="75"/>
      <c r="Q423" s="75"/>
      <c r="R423" s="75"/>
      <c r="S423" s="75"/>
      <c r="T423" s="75"/>
      <c r="U423" s="75"/>
      <c r="V423" s="75"/>
      <c r="W423" s="75"/>
      <c r="X423" s="75"/>
      <c r="Y423" s="75"/>
      <c r="Z423" s="75"/>
      <c r="AA423" s="75"/>
    </row>
    <row r="424" spans="1:27" s="126" customFormat="1">
      <c r="A424" s="76"/>
      <c r="B424" s="76"/>
      <c r="C424" s="75"/>
      <c r="D424" s="575"/>
      <c r="E424" s="75"/>
      <c r="F424" s="613"/>
      <c r="G424" s="739"/>
      <c r="H424" s="75"/>
      <c r="I424" s="75"/>
      <c r="J424" s="75"/>
      <c r="K424" s="75"/>
      <c r="L424" s="75"/>
      <c r="M424" s="75"/>
      <c r="N424" s="75"/>
      <c r="O424" s="75"/>
      <c r="P424" s="75"/>
      <c r="Q424" s="75"/>
      <c r="R424" s="75"/>
      <c r="S424" s="75"/>
      <c r="T424" s="75"/>
      <c r="U424" s="75"/>
      <c r="V424" s="75"/>
      <c r="W424" s="75"/>
      <c r="X424" s="75"/>
      <c r="Y424" s="75"/>
      <c r="Z424" s="75"/>
      <c r="AA424" s="75"/>
    </row>
    <row r="425" spans="1:27" s="126" customFormat="1">
      <c r="A425" s="76"/>
      <c r="B425" s="76"/>
      <c r="C425" s="75"/>
      <c r="D425" s="575"/>
      <c r="E425" s="75"/>
      <c r="F425" s="613"/>
      <c r="G425" s="739"/>
      <c r="H425" s="75"/>
      <c r="I425" s="75"/>
      <c r="J425" s="75"/>
      <c r="K425" s="75"/>
      <c r="L425" s="75"/>
      <c r="M425" s="75"/>
      <c r="N425" s="75"/>
      <c r="O425" s="75"/>
      <c r="P425" s="75"/>
      <c r="Q425" s="75"/>
      <c r="R425" s="75"/>
      <c r="S425" s="75"/>
      <c r="T425" s="75"/>
      <c r="U425" s="75"/>
      <c r="V425" s="75"/>
      <c r="W425" s="75"/>
      <c r="X425" s="75"/>
      <c r="Y425" s="75"/>
      <c r="Z425" s="75"/>
      <c r="AA425" s="75"/>
    </row>
    <row r="426" spans="1:27" s="126" customFormat="1">
      <c r="A426" s="76"/>
      <c r="B426" s="76"/>
      <c r="C426" s="75"/>
      <c r="D426" s="575"/>
      <c r="E426" s="75"/>
      <c r="F426" s="613"/>
      <c r="G426" s="739"/>
      <c r="H426" s="75"/>
      <c r="I426" s="75"/>
      <c r="J426" s="75"/>
      <c r="K426" s="75"/>
      <c r="L426" s="75"/>
      <c r="M426" s="75"/>
      <c r="N426" s="75"/>
      <c r="O426" s="75"/>
      <c r="P426" s="75"/>
      <c r="Q426" s="75"/>
      <c r="R426" s="75"/>
      <c r="S426" s="75"/>
      <c r="T426" s="75"/>
      <c r="U426" s="75"/>
      <c r="V426" s="75"/>
      <c r="W426" s="75"/>
      <c r="X426" s="75"/>
      <c r="Y426" s="75"/>
      <c r="Z426" s="75"/>
      <c r="AA426" s="75"/>
    </row>
    <row r="427" spans="1:27" s="126" customFormat="1">
      <c r="A427" s="76"/>
      <c r="B427" s="76"/>
      <c r="C427" s="75"/>
      <c r="D427" s="575"/>
      <c r="E427" s="75"/>
      <c r="F427" s="613"/>
      <c r="G427" s="739"/>
      <c r="H427" s="75"/>
      <c r="I427" s="75"/>
      <c r="J427" s="75"/>
      <c r="K427" s="75"/>
      <c r="L427" s="75"/>
      <c r="M427" s="75"/>
      <c r="N427" s="75"/>
      <c r="O427" s="75"/>
      <c r="P427" s="75"/>
      <c r="Q427" s="75"/>
      <c r="R427" s="75"/>
      <c r="S427" s="75"/>
      <c r="T427" s="75"/>
      <c r="U427" s="75"/>
      <c r="V427" s="75"/>
      <c r="W427" s="75"/>
      <c r="X427" s="75"/>
      <c r="Y427" s="75"/>
      <c r="Z427" s="75"/>
      <c r="AA427" s="75"/>
    </row>
    <row r="428" spans="1:27" s="126" customFormat="1">
      <c r="A428" s="76"/>
      <c r="B428" s="76"/>
      <c r="C428" s="75"/>
      <c r="D428" s="575"/>
      <c r="E428" s="75"/>
      <c r="F428" s="613"/>
      <c r="G428" s="739"/>
      <c r="H428" s="75"/>
      <c r="I428" s="75"/>
      <c r="J428" s="75"/>
      <c r="K428" s="75"/>
      <c r="L428" s="75"/>
      <c r="M428" s="75"/>
      <c r="N428" s="75"/>
      <c r="O428" s="75"/>
      <c r="P428" s="75"/>
      <c r="Q428" s="75"/>
      <c r="R428" s="75"/>
      <c r="S428" s="75"/>
      <c r="T428" s="75"/>
      <c r="U428" s="75"/>
      <c r="V428" s="75"/>
      <c r="W428" s="75"/>
      <c r="X428" s="75"/>
      <c r="Y428" s="75"/>
      <c r="Z428" s="75"/>
      <c r="AA428" s="75"/>
    </row>
    <row r="429" spans="1:27" s="126" customFormat="1">
      <c r="A429" s="76"/>
      <c r="B429" s="76"/>
      <c r="C429" s="75"/>
      <c r="D429" s="575"/>
      <c r="E429" s="75"/>
      <c r="F429" s="613"/>
      <c r="G429" s="739"/>
      <c r="H429" s="75"/>
      <c r="I429" s="75"/>
      <c r="J429" s="75"/>
      <c r="K429" s="75"/>
      <c r="L429" s="75"/>
      <c r="M429" s="75"/>
      <c r="N429" s="75"/>
      <c r="O429" s="75"/>
      <c r="P429" s="75"/>
      <c r="Q429" s="75"/>
      <c r="R429" s="75"/>
      <c r="S429" s="75"/>
      <c r="T429" s="75"/>
      <c r="U429" s="75"/>
      <c r="V429" s="75"/>
      <c r="W429" s="75"/>
      <c r="X429" s="75"/>
      <c r="Y429" s="75"/>
      <c r="Z429" s="75"/>
      <c r="AA429" s="75"/>
    </row>
    <row r="430" spans="1:27" s="126" customFormat="1">
      <c r="A430" s="76"/>
      <c r="B430" s="76"/>
      <c r="C430" s="75"/>
      <c r="D430" s="575"/>
      <c r="E430" s="75"/>
      <c r="F430" s="613"/>
      <c r="G430" s="739"/>
      <c r="H430" s="75"/>
      <c r="I430" s="75"/>
      <c r="J430" s="75"/>
      <c r="K430" s="75"/>
      <c r="L430" s="75"/>
      <c r="M430" s="75"/>
      <c r="N430" s="75"/>
      <c r="O430" s="75"/>
      <c r="P430" s="75"/>
      <c r="Q430" s="75"/>
      <c r="R430" s="75"/>
      <c r="S430" s="75"/>
      <c r="T430" s="75"/>
      <c r="U430" s="75"/>
      <c r="V430" s="75"/>
      <c r="W430" s="75"/>
      <c r="X430" s="75"/>
      <c r="Y430" s="75"/>
      <c r="Z430" s="75"/>
      <c r="AA430" s="75"/>
    </row>
    <row r="431" spans="1:27" s="126" customFormat="1">
      <c r="A431" s="76"/>
      <c r="B431" s="76"/>
      <c r="C431" s="75"/>
      <c r="D431" s="575"/>
      <c r="E431" s="75"/>
      <c r="F431" s="613"/>
      <c r="G431" s="739"/>
      <c r="H431" s="75"/>
      <c r="I431" s="75"/>
      <c r="J431" s="75"/>
      <c r="K431" s="75"/>
      <c r="L431" s="75"/>
      <c r="M431" s="75"/>
      <c r="N431" s="75"/>
      <c r="O431" s="75"/>
      <c r="P431" s="75"/>
      <c r="Q431" s="75"/>
      <c r="R431" s="75"/>
      <c r="S431" s="75"/>
      <c r="T431" s="75"/>
      <c r="U431" s="75"/>
      <c r="V431" s="75"/>
      <c r="W431" s="75"/>
      <c r="X431" s="75"/>
      <c r="Y431" s="75"/>
      <c r="Z431" s="75"/>
      <c r="AA431" s="75"/>
    </row>
    <row r="432" spans="1:27" s="126" customFormat="1">
      <c r="A432" s="76"/>
      <c r="B432" s="76"/>
      <c r="C432" s="75"/>
      <c r="D432" s="575"/>
      <c r="E432" s="75"/>
      <c r="F432" s="613"/>
      <c r="G432" s="739"/>
      <c r="H432" s="75"/>
      <c r="I432" s="75"/>
      <c r="J432" s="75"/>
      <c r="K432" s="75"/>
      <c r="L432" s="75"/>
      <c r="M432" s="75"/>
      <c r="N432" s="75"/>
      <c r="O432" s="75"/>
      <c r="P432" s="75"/>
      <c r="Q432" s="75"/>
      <c r="R432" s="75"/>
      <c r="S432" s="75"/>
      <c r="T432" s="75"/>
      <c r="U432" s="75"/>
      <c r="V432" s="75"/>
      <c r="W432" s="75"/>
      <c r="X432" s="75"/>
      <c r="Y432" s="75"/>
      <c r="Z432" s="75"/>
      <c r="AA432" s="75"/>
    </row>
    <row r="433" spans="1:27" s="126" customFormat="1">
      <c r="A433" s="76"/>
      <c r="B433" s="76"/>
      <c r="C433" s="75"/>
      <c r="D433" s="575"/>
      <c r="E433" s="75"/>
      <c r="F433" s="613"/>
      <c r="G433" s="739"/>
      <c r="H433" s="75"/>
      <c r="I433" s="75"/>
      <c r="J433" s="75"/>
      <c r="K433" s="75"/>
      <c r="L433" s="75"/>
      <c r="M433" s="75"/>
      <c r="N433" s="75"/>
      <c r="O433" s="75"/>
      <c r="P433" s="75"/>
      <c r="Q433" s="75"/>
      <c r="R433" s="75"/>
      <c r="S433" s="75"/>
      <c r="T433" s="75"/>
      <c r="U433" s="75"/>
      <c r="V433" s="75"/>
      <c r="W433" s="75"/>
      <c r="X433" s="75"/>
      <c r="Y433" s="75"/>
      <c r="Z433" s="75"/>
      <c r="AA433" s="75"/>
    </row>
    <row r="434" spans="1:27" s="126" customFormat="1">
      <c r="A434" s="76"/>
      <c r="B434" s="76"/>
      <c r="C434" s="75"/>
      <c r="D434" s="575"/>
      <c r="E434" s="75"/>
      <c r="F434" s="613"/>
      <c r="G434" s="739"/>
      <c r="H434" s="75"/>
      <c r="I434" s="75"/>
      <c r="J434" s="75"/>
      <c r="K434" s="75"/>
      <c r="L434" s="75"/>
      <c r="M434" s="75"/>
      <c r="N434" s="75"/>
      <c r="O434" s="75"/>
      <c r="P434" s="75"/>
      <c r="Q434" s="75"/>
      <c r="R434" s="75"/>
      <c r="S434" s="75"/>
      <c r="T434" s="75"/>
      <c r="U434" s="75"/>
      <c r="V434" s="75"/>
      <c r="W434" s="75"/>
      <c r="X434" s="75"/>
      <c r="Y434" s="75"/>
      <c r="Z434" s="75"/>
      <c r="AA434" s="75"/>
    </row>
    <row r="435" spans="1:27" s="126" customFormat="1">
      <c r="A435" s="76"/>
      <c r="B435" s="76"/>
      <c r="C435" s="75"/>
      <c r="D435" s="575"/>
      <c r="E435" s="75"/>
      <c r="F435" s="613"/>
      <c r="G435" s="739"/>
      <c r="H435" s="75"/>
      <c r="I435" s="75"/>
      <c r="J435" s="75"/>
      <c r="K435" s="75"/>
      <c r="L435" s="75"/>
      <c r="M435" s="75"/>
      <c r="N435" s="75"/>
      <c r="O435" s="75"/>
      <c r="P435" s="75"/>
      <c r="Q435" s="75"/>
      <c r="R435" s="75"/>
      <c r="S435" s="75"/>
      <c r="T435" s="75"/>
      <c r="U435" s="75"/>
      <c r="V435" s="75"/>
      <c r="W435" s="75"/>
      <c r="X435" s="75"/>
      <c r="Y435" s="75"/>
      <c r="Z435" s="75"/>
      <c r="AA435" s="75"/>
    </row>
    <row r="436" spans="1:27" s="126" customFormat="1">
      <c r="A436" s="76"/>
      <c r="B436" s="76"/>
      <c r="C436" s="75"/>
      <c r="D436" s="575"/>
      <c r="E436" s="75"/>
      <c r="F436" s="613"/>
      <c r="G436" s="739"/>
      <c r="H436" s="75"/>
      <c r="I436" s="75"/>
      <c r="J436" s="75"/>
      <c r="K436" s="75"/>
      <c r="L436" s="75"/>
      <c r="M436" s="75"/>
      <c r="N436" s="75"/>
      <c r="O436" s="75"/>
      <c r="P436" s="75"/>
      <c r="Q436" s="75"/>
      <c r="R436" s="75"/>
      <c r="S436" s="75"/>
      <c r="T436" s="75"/>
      <c r="U436" s="75"/>
      <c r="V436" s="75"/>
      <c r="W436" s="75"/>
      <c r="X436" s="75"/>
      <c r="Y436" s="75"/>
      <c r="Z436" s="75"/>
      <c r="AA436" s="75"/>
    </row>
    <row r="437" spans="1:27" s="126" customFormat="1">
      <c r="A437" s="76"/>
      <c r="B437" s="76"/>
      <c r="C437" s="75"/>
      <c r="D437" s="575"/>
      <c r="E437" s="75"/>
      <c r="F437" s="613"/>
      <c r="G437" s="739"/>
      <c r="H437" s="75"/>
      <c r="I437" s="75"/>
      <c r="J437" s="75"/>
      <c r="K437" s="75"/>
      <c r="L437" s="75"/>
      <c r="M437" s="75"/>
      <c r="N437" s="75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75"/>
      <c r="AA437" s="75"/>
    </row>
    <row r="438" spans="1:27" s="126" customFormat="1">
      <c r="A438" s="76"/>
      <c r="B438" s="76"/>
      <c r="C438" s="75"/>
      <c r="D438" s="575"/>
      <c r="E438" s="75"/>
      <c r="F438" s="613"/>
      <c r="G438" s="739"/>
      <c r="H438" s="75"/>
      <c r="I438" s="75"/>
      <c r="J438" s="75"/>
      <c r="K438" s="75"/>
      <c r="L438" s="75"/>
      <c r="M438" s="75"/>
      <c r="N438" s="75"/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75"/>
      <c r="AA438" s="75"/>
    </row>
    <row r="439" spans="1:27" s="126" customFormat="1">
      <c r="A439" s="76"/>
      <c r="B439" s="76"/>
      <c r="C439" s="75"/>
      <c r="D439" s="575"/>
      <c r="E439" s="75"/>
      <c r="F439" s="613"/>
      <c r="G439" s="739"/>
      <c r="H439" s="75"/>
      <c r="I439" s="75"/>
      <c r="J439" s="75"/>
      <c r="K439" s="75"/>
      <c r="L439" s="75"/>
      <c r="M439" s="75"/>
      <c r="N439" s="75"/>
      <c r="O439" s="75"/>
      <c r="P439" s="75"/>
      <c r="Q439" s="75"/>
      <c r="R439" s="75"/>
      <c r="S439" s="75"/>
      <c r="T439" s="75"/>
      <c r="U439" s="75"/>
      <c r="V439" s="75"/>
      <c r="W439" s="75"/>
      <c r="X439" s="75"/>
      <c r="Y439" s="75"/>
      <c r="Z439" s="75"/>
      <c r="AA439" s="75"/>
    </row>
    <row r="440" spans="1:27" s="126" customFormat="1">
      <c r="A440" s="76"/>
      <c r="B440" s="76"/>
      <c r="C440" s="75"/>
      <c r="D440" s="575"/>
      <c r="E440" s="75"/>
      <c r="F440" s="613"/>
      <c r="G440" s="739"/>
      <c r="H440" s="75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75"/>
      <c r="U440" s="75"/>
      <c r="V440" s="75"/>
      <c r="W440" s="75"/>
      <c r="X440" s="75"/>
      <c r="Y440" s="75"/>
      <c r="Z440" s="75"/>
      <c r="AA440" s="75"/>
    </row>
    <row r="441" spans="1:27" s="126" customFormat="1">
      <c r="A441" s="76"/>
      <c r="B441" s="76"/>
      <c r="C441" s="75"/>
      <c r="D441" s="575"/>
      <c r="E441" s="75"/>
      <c r="F441" s="613"/>
      <c r="G441" s="739"/>
      <c r="H441" s="75"/>
      <c r="I441" s="75"/>
      <c r="J441" s="75"/>
      <c r="K441" s="75"/>
      <c r="L441" s="75"/>
      <c r="M441" s="75"/>
      <c r="N441" s="75"/>
      <c r="O441" s="75"/>
      <c r="P441" s="75"/>
      <c r="Q441" s="75"/>
      <c r="R441" s="75"/>
      <c r="S441" s="75"/>
      <c r="T441" s="75"/>
      <c r="U441" s="75"/>
      <c r="V441" s="75"/>
      <c r="W441" s="75"/>
      <c r="X441" s="75"/>
      <c r="Y441" s="75"/>
      <c r="Z441" s="75"/>
      <c r="AA441" s="75"/>
    </row>
    <row r="442" spans="1:27" s="126" customFormat="1">
      <c r="A442" s="76"/>
      <c r="B442" s="76"/>
      <c r="C442" s="75"/>
      <c r="D442" s="575"/>
      <c r="E442" s="75"/>
      <c r="F442" s="613"/>
      <c r="G442" s="739"/>
      <c r="H442" s="75"/>
      <c r="I442" s="75"/>
      <c r="J442" s="75"/>
      <c r="K442" s="75"/>
      <c r="L442" s="75"/>
      <c r="M442" s="75"/>
      <c r="N442" s="75"/>
      <c r="O442" s="75"/>
      <c r="P442" s="75"/>
      <c r="Q442" s="75"/>
      <c r="R442" s="75"/>
      <c r="S442" s="75"/>
      <c r="T442" s="75"/>
      <c r="U442" s="75"/>
      <c r="V442" s="75"/>
      <c r="W442" s="75"/>
      <c r="X442" s="75"/>
      <c r="Y442" s="75"/>
      <c r="Z442" s="75"/>
      <c r="AA442" s="75"/>
    </row>
    <row r="443" spans="1:27" s="126" customFormat="1">
      <c r="A443" s="76"/>
      <c r="B443" s="76"/>
      <c r="C443" s="75"/>
      <c r="D443" s="575"/>
      <c r="E443" s="75"/>
      <c r="F443" s="613"/>
      <c r="G443" s="739"/>
      <c r="H443" s="75"/>
      <c r="I443" s="75"/>
      <c r="J443" s="75"/>
      <c r="K443" s="75"/>
      <c r="L443" s="75"/>
      <c r="M443" s="75"/>
      <c r="N443" s="75"/>
      <c r="O443" s="75"/>
      <c r="P443" s="75"/>
      <c r="Q443" s="75"/>
      <c r="R443" s="75"/>
      <c r="S443" s="75"/>
      <c r="T443" s="75"/>
      <c r="U443" s="75"/>
      <c r="V443" s="75"/>
      <c r="W443" s="75"/>
      <c r="X443" s="75"/>
      <c r="Y443" s="75"/>
      <c r="Z443" s="75"/>
      <c r="AA443" s="75"/>
    </row>
    <row r="444" spans="1:27" s="126" customFormat="1">
      <c r="A444" s="76"/>
      <c r="B444" s="76"/>
      <c r="C444" s="75"/>
      <c r="D444" s="575"/>
      <c r="E444" s="75"/>
      <c r="F444" s="613"/>
      <c r="G444" s="739"/>
      <c r="H444" s="75"/>
      <c r="I444" s="75"/>
      <c r="J444" s="75"/>
      <c r="K444" s="75"/>
      <c r="L444" s="75"/>
      <c r="M444" s="75"/>
      <c r="N444" s="75"/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  <c r="AA444" s="75"/>
    </row>
    <row r="445" spans="1:27" s="126" customFormat="1">
      <c r="A445" s="76"/>
      <c r="B445" s="76"/>
      <c r="C445" s="75"/>
      <c r="D445" s="575"/>
      <c r="E445" s="75"/>
      <c r="F445" s="613"/>
      <c r="G445" s="739"/>
      <c r="H445" s="75"/>
      <c r="I445" s="75"/>
      <c r="J445" s="75"/>
      <c r="K445" s="75"/>
      <c r="L445" s="75"/>
      <c r="M445" s="75"/>
      <c r="N445" s="75"/>
      <c r="O445" s="75"/>
      <c r="P445" s="75"/>
      <c r="Q445" s="75"/>
      <c r="R445" s="75"/>
      <c r="S445" s="75"/>
      <c r="T445" s="75"/>
      <c r="U445" s="75"/>
      <c r="V445" s="75"/>
      <c r="W445" s="75"/>
      <c r="X445" s="75"/>
      <c r="Y445" s="75"/>
      <c r="Z445" s="75"/>
      <c r="AA445" s="75"/>
    </row>
    <row r="446" spans="1:27" s="126" customFormat="1">
      <c r="A446" s="76"/>
      <c r="B446" s="76"/>
      <c r="C446" s="75"/>
      <c r="D446" s="575"/>
      <c r="E446" s="75"/>
      <c r="F446" s="613"/>
      <c r="G446" s="739"/>
      <c r="H446" s="75"/>
      <c r="I446" s="75"/>
      <c r="J446" s="75"/>
      <c r="K446" s="75"/>
      <c r="L446" s="75"/>
      <c r="M446" s="75"/>
      <c r="N446" s="75"/>
      <c r="O446" s="75"/>
      <c r="P446" s="75"/>
      <c r="Q446" s="75"/>
      <c r="R446" s="75"/>
      <c r="S446" s="75"/>
      <c r="T446" s="75"/>
      <c r="U446" s="75"/>
      <c r="V446" s="75"/>
      <c r="W446" s="75"/>
      <c r="X446" s="75"/>
      <c r="Y446" s="75"/>
      <c r="Z446" s="75"/>
      <c r="AA446" s="75"/>
    </row>
    <row r="447" spans="1:27" s="126" customFormat="1">
      <c r="A447" s="76"/>
      <c r="B447" s="76"/>
      <c r="C447" s="75"/>
      <c r="D447" s="575"/>
      <c r="E447" s="75"/>
      <c r="F447" s="613"/>
      <c r="G447" s="739"/>
      <c r="H447" s="75"/>
      <c r="I447" s="75"/>
      <c r="J447" s="75"/>
      <c r="K447" s="75"/>
      <c r="L447" s="75"/>
      <c r="M447" s="75"/>
      <c r="N447" s="75"/>
      <c r="O447" s="75"/>
      <c r="P447" s="75"/>
      <c r="Q447" s="75"/>
      <c r="R447" s="75"/>
      <c r="S447" s="75"/>
      <c r="T447" s="75"/>
      <c r="U447" s="75"/>
      <c r="V447" s="75"/>
      <c r="W447" s="75"/>
      <c r="X447" s="75"/>
      <c r="Y447" s="75"/>
      <c r="Z447" s="75"/>
      <c r="AA447" s="75"/>
    </row>
    <row r="448" spans="1:27" s="126" customFormat="1">
      <c r="A448" s="76"/>
      <c r="B448" s="76"/>
      <c r="C448" s="75"/>
      <c r="D448" s="575"/>
      <c r="E448" s="75"/>
      <c r="F448" s="613"/>
      <c r="G448" s="739"/>
      <c r="H448" s="75"/>
      <c r="I448" s="75"/>
      <c r="J448" s="75"/>
      <c r="K448" s="75"/>
      <c r="L448" s="75"/>
      <c r="M448" s="75"/>
      <c r="N448" s="75"/>
      <c r="O448" s="75"/>
      <c r="P448" s="75"/>
      <c r="Q448" s="75"/>
      <c r="R448" s="75"/>
      <c r="S448" s="75"/>
      <c r="T448" s="75"/>
      <c r="U448" s="75"/>
      <c r="V448" s="75"/>
      <c r="W448" s="75"/>
      <c r="X448" s="75"/>
      <c r="Y448" s="75"/>
      <c r="Z448" s="75"/>
      <c r="AA448" s="75"/>
    </row>
    <row r="449" spans="1:27" s="126" customFormat="1">
      <c r="A449" s="76"/>
      <c r="B449" s="76"/>
      <c r="C449" s="75"/>
      <c r="D449" s="575"/>
      <c r="E449" s="75"/>
      <c r="F449" s="613"/>
      <c r="G449" s="739"/>
      <c r="H449" s="75"/>
      <c r="I449" s="75"/>
      <c r="J449" s="75"/>
      <c r="K449" s="75"/>
      <c r="L449" s="75"/>
      <c r="M449" s="75"/>
      <c r="N449" s="75"/>
      <c r="O449" s="75"/>
      <c r="P449" s="75"/>
      <c r="Q449" s="75"/>
      <c r="R449" s="75"/>
      <c r="S449" s="75"/>
      <c r="T449" s="75"/>
      <c r="U449" s="75"/>
      <c r="V449" s="75"/>
      <c r="W449" s="75"/>
      <c r="X449" s="75"/>
      <c r="Y449" s="75"/>
      <c r="Z449" s="75"/>
      <c r="AA449" s="75"/>
    </row>
    <row r="450" spans="1:27" s="126" customFormat="1">
      <c r="A450" s="76"/>
      <c r="B450" s="76"/>
      <c r="C450" s="75"/>
      <c r="D450" s="575"/>
      <c r="E450" s="75"/>
      <c r="F450" s="613"/>
      <c r="G450" s="739"/>
      <c r="H450" s="75"/>
      <c r="I450" s="75"/>
      <c r="J450" s="75"/>
      <c r="K450" s="75"/>
      <c r="L450" s="75"/>
      <c r="M450" s="75"/>
      <c r="N450" s="75"/>
      <c r="O450" s="75"/>
      <c r="P450" s="75"/>
      <c r="Q450" s="75"/>
      <c r="R450" s="75"/>
      <c r="S450" s="75"/>
      <c r="T450" s="75"/>
      <c r="U450" s="75"/>
      <c r="V450" s="75"/>
      <c r="W450" s="75"/>
      <c r="X450" s="75"/>
      <c r="Y450" s="75"/>
      <c r="Z450" s="75"/>
      <c r="AA450" s="75"/>
    </row>
    <row r="451" spans="1:27" s="126" customFormat="1">
      <c r="A451" s="76"/>
      <c r="B451" s="76"/>
      <c r="C451" s="75"/>
      <c r="D451" s="575"/>
      <c r="E451" s="75"/>
      <c r="F451" s="613"/>
      <c r="G451" s="739"/>
      <c r="H451" s="75"/>
      <c r="I451" s="75"/>
      <c r="J451" s="75"/>
      <c r="K451" s="75"/>
      <c r="L451" s="75"/>
      <c r="M451" s="75"/>
      <c r="N451" s="75"/>
      <c r="O451" s="75"/>
      <c r="P451" s="75"/>
      <c r="Q451" s="75"/>
      <c r="R451" s="75"/>
      <c r="S451" s="75"/>
      <c r="T451" s="75"/>
      <c r="U451" s="75"/>
      <c r="V451" s="75"/>
      <c r="W451" s="75"/>
      <c r="X451" s="75"/>
      <c r="Y451" s="75"/>
      <c r="Z451" s="75"/>
      <c r="AA451" s="75"/>
    </row>
    <row r="452" spans="1:27" s="126" customFormat="1">
      <c r="A452" s="76"/>
      <c r="B452" s="76"/>
      <c r="C452" s="75"/>
      <c r="D452" s="575"/>
      <c r="E452" s="75"/>
      <c r="F452" s="613"/>
      <c r="G452" s="739"/>
      <c r="H452" s="75"/>
      <c r="I452" s="75"/>
      <c r="J452" s="75"/>
      <c r="K452" s="75"/>
      <c r="L452" s="75"/>
      <c r="M452" s="75"/>
      <c r="N452" s="75"/>
      <c r="O452" s="75"/>
      <c r="P452" s="75"/>
      <c r="Q452" s="75"/>
      <c r="R452" s="75"/>
      <c r="S452" s="75"/>
      <c r="T452" s="75"/>
      <c r="U452" s="75"/>
      <c r="V452" s="75"/>
      <c r="W452" s="75"/>
      <c r="X452" s="75"/>
      <c r="Y452" s="75"/>
      <c r="Z452" s="75"/>
      <c r="AA452" s="75"/>
    </row>
    <row r="453" spans="1:27" s="126" customFormat="1">
      <c r="A453" s="76"/>
      <c r="B453" s="76"/>
      <c r="C453" s="75"/>
      <c r="D453" s="575"/>
      <c r="E453" s="75"/>
      <c r="F453" s="613"/>
      <c r="G453" s="739"/>
      <c r="H453" s="75"/>
      <c r="I453" s="75"/>
      <c r="J453" s="75"/>
      <c r="K453" s="75"/>
      <c r="L453" s="75"/>
      <c r="M453" s="75"/>
      <c r="N453" s="75"/>
      <c r="O453" s="75"/>
      <c r="P453" s="75"/>
      <c r="Q453" s="75"/>
      <c r="R453" s="75"/>
      <c r="S453" s="75"/>
      <c r="T453" s="75"/>
      <c r="U453" s="75"/>
      <c r="V453" s="75"/>
      <c r="W453" s="75"/>
      <c r="X453" s="75"/>
      <c r="Y453" s="75"/>
      <c r="Z453" s="75"/>
      <c r="AA453" s="75"/>
    </row>
    <row r="454" spans="1:27" s="126" customFormat="1">
      <c r="A454" s="76"/>
      <c r="B454" s="76"/>
      <c r="C454" s="75"/>
      <c r="D454" s="575"/>
      <c r="E454" s="75"/>
      <c r="F454" s="613"/>
      <c r="G454" s="739"/>
      <c r="H454" s="75"/>
      <c r="I454" s="75"/>
      <c r="J454" s="75"/>
      <c r="K454" s="75"/>
      <c r="L454" s="75"/>
      <c r="M454" s="75"/>
      <c r="N454" s="75"/>
      <c r="O454" s="75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  <c r="AA454" s="75"/>
    </row>
    <row r="455" spans="1:27" s="126" customFormat="1">
      <c r="A455" s="76"/>
      <c r="B455" s="76"/>
      <c r="C455" s="75"/>
      <c r="D455" s="575"/>
      <c r="E455" s="75"/>
      <c r="F455" s="613"/>
      <c r="G455" s="739"/>
      <c r="H455" s="75"/>
      <c r="I455" s="75"/>
      <c r="J455" s="75"/>
      <c r="K455" s="75"/>
      <c r="L455" s="75"/>
      <c r="M455" s="75"/>
      <c r="N455" s="75"/>
      <c r="O455" s="75"/>
      <c r="P455" s="75"/>
      <c r="Q455" s="75"/>
      <c r="R455" s="75"/>
      <c r="S455" s="75"/>
      <c r="T455" s="75"/>
      <c r="U455" s="75"/>
      <c r="V455" s="75"/>
      <c r="W455" s="75"/>
      <c r="X455" s="75"/>
      <c r="Y455" s="75"/>
      <c r="Z455" s="75"/>
      <c r="AA455" s="75"/>
    </row>
    <row r="456" spans="1:27" s="126" customFormat="1">
      <c r="A456" s="76"/>
      <c r="B456" s="76"/>
      <c r="C456" s="75"/>
      <c r="D456" s="575"/>
      <c r="E456" s="75"/>
      <c r="F456" s="613"/>
      <c r="G456" s="739"/>
      <c r="H456" s="75"/>
      <c r="I456" s="75"/>
      <c r="J456" s="75"/>
      <c r="K456" s="75"/>
      <c r="L456" s="75"/>
      <c r="M456" s="75"/>
      <c r="N456" s="75"/>
      <c r="O456" s="75"/>
      <c r="P456" s="75"/>
      <c r="Q456" s="75"/>
      <c r="R456" s="75"/>
      <c r="S456" s="75"/>
      <c r="T456" s="75"/>
      <c r="U456" s="75"/>
      <c r="V456" s="75"/>
      <c r="W456" s="75"/>
      <c r="X456" s="75"/>
      <c r="Y456" s="75"/>
      <c r="Z456" s="75"/>
      <c r="AA456" s="75"/>
    </row>
    <row r="457" spans="1:27" s="126" customFormat="1">
      <c r="A457" s="76"/>
      <c r="B457" s="76"/>
      <c r="C457" s="75"/>
      <c r="D457" s="575"/>
      <c r="E457" s="75"/>
      <c r="F457" s="613"/>
      <c r="G457" s="739"/>
      <c r="H457" s="75"/>
      <c r="I457" s="75"/>
      <c r="J457" s="75"/>
      <c r="K457" s="75"/>
      <c r="L457" s="75"/>
      <c r="M457" s="75"/>
      <c r="N457" s="75"/>
      <c r="O457" s="75"/>
      <c r="P457" s="75"/>
      <c r="Q457" s="75"/>
      <c r="R457" s="75"/>
      <c r="S457" s="75"/>
      <c r="T457" s="75"/>
      <c r="U457" s="75"/>
      <c r="V457" s="75"/>
      <c r="W457" s="75"/>
      <c r="X457" s="75"/>
      <c r="Y457" s="75"/>
      <c r="Z457" s="75"/>
      <c r="AA457" s="75"/>
    </row>
    <row r="458" spans="1:27" s="126" customFormat="1">
      <c r="A458" s="76"/>
      <c r="B458" s="76"/>
      <c r="C458" s="75"/>
      <c r="D458" s="575"/>
      <c r="E458" s="75"/>
      <c r="F458" s="613"/>
      <c r="G458" s="739"/>
      <c r="H458" s="75"/>
      <c r="I458" s="75"/>
      <c r="J458" s="75"/>
      <c r="K458" s="75"/>
      <c r="L458" s="75"/>
      <c r="M458" s="75"/>
      <c r="N458" s="75"/>
      <c r="O458" s="75"/>
      <c r="P458" s="75"/>
      <c r="Q458" s="75"/>
      <c r="R458" s="75"/>
      <c r="S458" s="75"/>
      <c r="T458" s="75"/>
      <c r="U458" s="75"/>
      <c r="V458" s="75"/>
      <c r="W458" s="75"/>
      <c r="X458" s="75"/>
      <c r="Y458" s="75"/>
      <c r="Z458" s="75"/>
      <c r="AA458" s="75"/>
    </row>
    <row r="459" spans="1:27" s="126" customFormat="1">
      <c r="A459" s="76"/>
      <c r="B459" s="76"/>
      <c r="C459" s="75"/>
      <c r="D459" s="575"/>
      <c r="E459" s="75"/>
      <c r="F459" s="613"/>
      <c r="G459" s="739"/>
      <c r="H459" s="75"/>
      <c r="I459" s="75"/>
      <c r="J459" s="75"/>
      <c r="K459" s="75"/>
      <c r="L459" s="75"/>
      <c r="M459" s="75"/>
      <c r="N459" s="75"/>
      <c r="O459" s="75"/>
      <c r="P459" s="75"/>
      <c r="Q459" s="75"/>
      <c r="R459" s="75"/>
      <c r="S459" s="75"/>
      <c r="T459" s="75"/>
      <c r="U459" s="75"/>
      <c r="V459" s="75"/>
      <c r="W459" s="75"/>
      <c r="X459" s="75"/>
      <c r="Y459" s="75"/>
      <c r="Z459" s="75"/>
      <c r="AA459" s="75"/>
    </row>
    <row r="460" spans="1:27" s="126" customFormat="1">
      <c r="A460" s="76"/>
      <c r="B460" s="76"/>
      <c r="C460" s="75"/>
      <c r="D460" s="575"/>
      <c r="E460" s="75"/>
      <c r="F460" s="613"/>
      <c r="G460" s="739"/>
      <c r="H460" s="75"/>
      <c r="I460" s="75"/>
      <c r="J460" s="75"/>
      <c r="K460" s="75"/>
      <c r="L460" s="75"/>
      <c r="M460" s="75"/>
      <c r="N460" s="75"/>
      <c r="O460" s="75"/>
      <c r="P460" s="75"/>
      <c r="Q460" s="75"/>
      <c r="R460" s="75"/>
      <c r="S460" s="75"/>
      <c r="T460" s="75"/>
      <c r="U460" s="75"/>
      <c r="V460" s="75"/>
      <c r="W460" s="75"/>
      <c r="X460" s="75"/>
      <c r="Y460" s="75"/>
      <c r="Z460" s="75"/>
      <c r="AA460" s="75"/>
    </row>
    <row r="461" spans="1:27" s="126" customFormat="1">
      <c r="A461" s="76"/>
      <c r="B461" s="76"/>
      <c r="C461" s="75"/>
      <c r="D461" s="575"/>
      <c r="E461" s="75"/>
      <c r="F461" s="613"/>
      <c r="G461" s="739"/>
      <c r="H461" s="75"/>
      <c r="I461" s="75"/>
      <c r="J461" s="75"/>
      <c r="K461" s="75"/>
      <c r="L461" s="75"/>
      <c r="M461" s="75"/>
      <c r="N461" s="75"/>
      <c r="O461" s="75"/>
      <c r="P461" s="75"/>
      <c r="Q461" s="75"/>
      <c r="R461" s="75"/>
      <c r="S461" s="75"/>
      <c r="T461" s="75"/>
      <c r="U461" s="75"/>
      <c r="V461" s="75"/>
      <c r="W461" s="75"/>
      <c r="X461" s="75"/>
      <c r="Y461" s="75"/>
      <c r="Z461" s="75"/>
      <c r="AA461" s="75"/>
    </row>
    <row r="462" spans="1:27" s="126" customFormat="1">
      <c r="A462" s="76"/>
      <c r="B462" s="76"/>
      <c r="C462" s="75"/>
      <c r="D462" s="575"/>
      <c r="E462" s="75"/>
      <c r="F462" s="613"/>
      <c r="G462" s="739"/>
      <c r="H462" s="75"/>
      <c r="I462" s="75"/>
      <c r="J462" s="75"/>
      <c r="K462" s="75"/>
      <c r="L462" s="75"/>
      <c r="M462" s="75"/>
      <c r="N462" s="75"/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  <c r="AA462" s="75"/>
    </row>
    <row r="463" spans="1:27" s="126" customFormat="1">
      <c r="A463" s="76"/>
      <c r="B463" s="76"/>
      <c r="C463" s="75"/>
      <c r="D463" s="575"/>
      <c r="E463" s="75"/>
      <c r="F463" s="613"/>
      <c r="G463" s="739"/>
      <c r="H463" s="75"/>
      <c r="I463" s="75"/>
      <c r="J463" s="75"/>
      <c r="K463" s="75"/>
      <c r="L463" s="75"/>
      <c r="M463" s="75"/>
      <c r="N463" s="75"/>
      <c r="O463" s="75"/>
      <c r="P463" s="75"/>
      <c r="Q463" s="75"/>
      <c r="R463" s="75"/>
      <c r="S463" s="75"/>
      <c r="T463" s="75"/>
      <c r="U463" s="75"/>
      <c r="V463" s="75"/>
      <c r="W463" s="75"/>
      <c r="X463" s="75"/>
      <c r="Y463" s="75"/>
      <c r="Z463" s="75"/>
      <c r="AA463" s="75"/>
    </row>
    <row r="464" spans="1:27" s="126" customFormat="1">
      <c r="A464" s="76"/>
      <c r="B464" s="76"/>
      <c r="C464" s="75"/>
      <c r="D464" s="575"/>
      <c r="E464" s="75"/>
      <c r="F464" s="613"/>
      <c r="G464" s="739"/>
      <c r="H464" s="75"/>
      <c r="I464" s="75"/>
      <c r="J464" s="75"/>
      <c r="K464" s="75"/>
      <c r="L464" s="75"/>
      <c r="M464" s="75"/>
      <c r="N464" s="75"/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  <c r="AA464" s="75"/>
    </row>
    <row r="465" spans="1:27" s="126" customFormat="1">
      <c r="A465" s="76"/>
      <c r="B465" s="76"/>
      <c r="C465" s="75"/>
      <c r="D465" s="575"/>
      <c r="E465" s="75"/>
      <c r="F465" s="613"/>
      <c r="G465" s="739"/>
      <c r="H465" s="75"/>
      <c r="I465" s="75"/>
      <c r="J465" s="75"/>
      <c r="K465" s="75"/>
      <c r="L465" s="75"/>
      <c r="M465" s="75"/>
      <c r="N465" s="75"/>
      <c r="O465" s="75"/>
      <c r="P465" s="75"/>
      <c r="Q465" s="75"/>
      <c r="R465" s="75"/>
      <c r="S465" s="75"/>
      <c r="T465" s="75"/>
      <c r="U465" s="75"/>
      <c r="V465" s="75"/>
      <c r="W465" s="75"/>
      <c r="X465" s="75"/>
      <c r="Y465" s="75"/>
      <c r="Z465" s="75"/>
      <c r="AA465" s="75"/>
    </row>
    <row r="466" spans="1:27" s="126" customFormat="1">
      <c r="A466" s="76"/>
      <c r="B466" s="76"/>
      <c r="C466" s="75"/>
      <c r="D466" s="575"/>
      <c r="E466" s="75"/>
      <c r="F466" s="613"/>
      <c r="G466" s="739"/>
      <c r="H466" s="75"/>
      <c r="I466" s="75"/>
      <c r="J466" s="75"/>
      <c r="K466" s="75"/>
      <c r="L466" s="75"/>
      <c r="M466" s="75"/>
      <c r="N466" s="75"/>
      <c r="O466" s="75"/>
      <c r="P466" s="75"/>
      <c r="Q466" s="75"/>
      <c r="R466" s="75"/>
      <c r="S466" s="75"/>
      <c r="T466" s="75"/>
      <c r="U466" s="75"/>
      <c r="V466" s="75"/>
      <c r="W466" s="75"/>
      <c r="X466" s="75"/>
      <c r="Y466" s="75"/>
      <c r="Z466" s="75"/>
      <c r="AA466" s="75"/>
    </row>
    <row r="467" spans="1:27" s="126" customFormat="1">
      <c r="A467" s="76"/>
      <c r="B467" s="76"/>
      <c r="C467" s="75"/>
      <c r="D467" s="575"/>
      <c r="E467" s="75"/>
      <c r="F467" s="613"/>
      <c r="G467" s="739"/>
      <c r="H467" s="75"/>
      <c r="I467" s="75"/>
      <c r="J467" s="75"/>
      <c r="K467" s="75"/>
      <c r="L467" s="75"/>
      <c r="M467" s="75"/>
      <c r="N467" s="75"/>
      <c r="O467" s="75"/>
      <c r="P467" s="75"/>
      <c r="Q467" s="75"/>
      <c r="R467" s="75"/>
      <c r="S467" s="75"/>
      <c r="T467" s="75"/>
      <c r="U467" s="75"/>
      <c r="V467" s="75"/>
      <c r="W467" s="75"/>
      <c r="X467" s="75"/>
      <c r="Y467" s="75"/>
      <c r="Z467" s="75"/>
      <c r="AA467" s="75"/>
    </row>
    <row r="468" spans="1:27" s="126" customFormat="1">
      <c r="A468" s="76"/>
      <c r="B468" s="76"/>
      <c r="C468" s="75"/>
      <c r="D468" s="575"/>
      <c r="E468" s="75"/>
      <c r="F468" s="613"/>
      <c r="G468" s="739"/>
      <c r="H468" s="75"/>
      <c r="I468" s="75"/>
      <c r="J468" s="75"/>
      <c r="K468" s="75"/>
      <c r="L468" s="75"/>
      <c r="M468" s="75"/>
      <c r="N468" s="75"/>
      <c r="O468" s="75"/>
      <c r="P468" s="75"/>
      <c r="Q468" s="75"/>
      <c r="R468" s="75"/>
      <c r="S468" s="75"/>
      <c r="T468" s="75"/>
      <c r="U468" s="75"/>
      <c r="V468" s="75"/>
      <c r="W468" s="75"/>
      <c r="X468" s="75"/>
      <c r="Y468" s="75"/>
      <c r="Z468" s="75"/>
      <c r="AA468" s="75"/>
    </row>
    <row r="469" spans="1:27" s="126" customFormat="1">
      <c r="A469" s="76"/>
      <c r="B469" s="76"/>
      <c r="C469" s="75"/>
      <c r="D469" s="575"/>
      <c r="E469" s="75"/>
      <c r="F469" s="613"/>
      <c r="G469" s="739"/>
      <c r="H469" s="75"/>
      <c r="I469" s="75"/>
      <c r="J469" s="75"/>
      <c r="K469" s="75"/>
      <c r="L469" s="75"/>
      <c r="M469" s="75"/>
      <c r="N469" s="75"/>
      <c r="O469" s="75"/>
      <c r="P469" s="75"/>
      <c r="Q469" s="75"/>
      <c r="R469" s="75"/>
      <c r="S469" s="75"/>
      <c r="T469" s="75"/>
      <c r="U469" s="75"/>
      <c r="V469" s="75"/>
      <c r="W469" s="75"/>
      <c r="X469" s="75"/>
      <c r="Y469" s="75"/>
      <c r="Z469" s="75"/>
      <c r="AA469" s="75"/>
    </row>
    <row r="470" spans="1:27" s="126" customFormat="1">
      <c r="A470" s="76"/>
      <c r="B470" s="76"/>
      <c r="C470" s="75"/>
      <c r="D470" s="575"/>
      <c r="E470" s="75"/>
      <c r="F470" s="613"/>
      <c r="G470" s="739"/>
      <c r="H470" s="75"/>
      <c r="I470" s="75"/>
      <c r="J470" s="75"/>
      <c r="K470" s="75"/>
      <c r="L470" s="75"/>
      <c r="M470" s="75"/>
      <c r="N470" s="75"/>
      <c r="O470" s="75"/>
      <c r="P470" s="75"/>
      <c r="Q470" s="75"/>
      <c r="R470" s="75"/>
      <c r="S470" s="75"/>
      <c r="T470" s="75"/>
      <c r="U470" s="75"/>
      <c r="V470" s="75"/>
      <c r="W470" s="75"/>
      <c r="X470" s="75"/>
      <c r="Y470" s="75"/>
      <c r="Z470" s="75"/>
      <c r="AA470" s="75"/>
    </row>
    <row r="471" spans="1:27" s="126" customFormat="1">
      <c r="A471" s="76"/>
      <c r="B471" s="76"/>
      <c r="C471" s="75"/>
      <c r="D471" s="575"/>
      <c r="E471" s="75"/>
      <c r="F471" s="613"/>
      <c r="G471" s="739"/>
      <c r="H471" s="75"/>
      <c r="I471" s="75"/>
      <c r="J471" s="75"/>
      <c r="K471" s="75"/>
      <c r="L471" s="75"/>
      <c r="M471" s="75"/>
      <c r="N471" s="75"/>
      <c r="O471" s="75"/>
      <c r="P471" s="75"/>
      <c r="Q471" s="75"/>
      <c r="R471" s="75"/>
      <c r="S471" s="75"/>
      <c r="T471" s="75"/>
      <c r="U471" s="75"/>
      <c r="V471" s="75"/>
      <c r="W471" s="75"/>
      <c r="X471" s="75"/>
      <c r="Y471" s="75"/>
      <c r="Z471" s="75"/>
      <c r="AA471" s="75"/>
    </row>
    <row r="472" spans="1:27" s="126" customFormat="1">
      <c r="A472" s="76"/>
      <c r="B472" s="76"/>
      <c r="C472" s="75"/>
      <c r="D472" s="575"/>
      <c r="E472" s="75"/>
      <c r="F472" s="613"/>
      <c r="G472" s="739"/>
      <c r="H472" s="75"/>
      <c r="I472" s="75"/>
      <c r="J472" s="75"/>
      <c r="K472" s="75"/>
      <c r="L472" s="75"/>
      <c r="M472" s="75"/>
      <c r="N472" s="75"/>
      <c r="O472" s="75"/>
      <c r="P472" s="75"/>
      <c r="Q472" s="75"/>
      <c r="R472" s="75"/>
      <c r="S472" s="75"/>
      <c r="T472" s="75"/>
      <c r="U472" s="75"/>
      <c r="V472" s="75"/>
      <c r="W472" s="75"/>
      <c r="X472" s="75"/>
      <c r="Y472" s="75"/>
      <c r="Z472" s="75"/>
      <c r="AA472" s="75"/>
    </row>
    <row r="473" spans="1:27" s="126" customFormat="1">
      <c r="A473" s="76"/>
      <c r="B473" s="76"/>
      <c r="C473" s="75"/>
      <c r="D473" s="575"/>
      <c r="E473" s="75"/>
      <c r="F473" s="613"/>
      <c r="G473" s="739"/>
      <c r="H473" s="75"/>
      <c r="I473" s="75"/>
      <c r="J473" s="75"/>
      <c r="K473" s="75"/>
      <c r="L473" s="75"/>
      <c r="M473" s="75"/>
      <c r="N473" s="75"/>
      <c r="O473" s="75"/>
      <c r="P473" s="75"/>
      <c r="Q473" s="75"/>
      <c r="R473" s="75"/>
      <c r="S473" s="75"/>
      <c r="T473" s="75"/>
      <c r="U473" s="75"/>
      <c r="V473" s="75"/>
      <c r="W473" s="75"/>
      <c r="X473" s="75"/>
      <c r="Y473" s="75"/>
      <c r="Z473" s="75"/>
      <c r="AA473" s="75"/>
    </row>
    <row r="474" spans="1:27" s="126" customFormat="1">
      <c r="A474" s="76"/>
      <c r="B474" s="76"/>
      <c r="C474" s="75"/>
      <c r="D474" s="575"/>
      <c r="E474" s="75"/>
      <c r="F474" s="613"/>
      <c r="G474" s="739"/>
      <c r="H474" s="75"/>
      <c r="I474" s="75"/>
      <c r="J474" s="75"/>
      <c r="K474" s="75"/>
      <c r="L474" s="75"/>
      <c r="M474" s="75"/>
      <c r="N474" s="75"/>
      <c r="O474" s="75"/>
      <c r="P474" s="75"/>
      <c r="Q474" s="75"/>
      <c r="R474" s="75"/>
      <c r="S474" s="75"/>
      <c r="T474" s="75"/>
      <c r="U474" s="75"/>
      <c r="V474" s="75"/>
      <c r="W474" s="75"/>
      <c r="X474" s="75"/>
      <c r="Y474" s="75"/>
      <c r="Z474" s="75"/>
      <c r="AA474" s="75"/>
    </row>
    <row r="475" spans="1:27" s="126" customFormat="1">
      <c r="A475" s="76"/>
      <c r="B475" s="76"/>
      <c r="C475" s="75"/>
      <c r="D475" s="575"/>
      <c r="E475" s="75"/>
      <c r="F475" s="613"/>
      <c r="G475" s="739"/>
      <c r="H475" s="75"/>
      <c r="I475" s="75"/>
      <c r="J475" s="75"/>
      <c r="K475" s="75"/>
      <c r="L475" s="75"/>
      <c r="M475" s="75"/>
      <c r="N475" s="75"/>
      <c r="O475" s="75"/>
      <c r="P475" s="75"/>
      <c r="Q475" s="75"/>
      <c r="R475" s="75"/>
      <c r="S475" s="75"/>
      <c r="T475" s="75"/>
      <c r="U475" s="75"/>
      <c r="V475" s="75"/>
      <c r="W475" s="75"/>
      <c r="X475" s="75"/>
      <c r="Y475" s="75"/>
      <c r="Z475" s="75"/>
      <c r="AA475" s="75"/>
    </row>
    <row r="476" spans="1:27" s="126" customFormat="1">
      <c r="A476" s="76"/>
      <c r="B476" s="76"/>
      <c r="C476" s="75"/>
      <c r="D476" s="575"/>
      <c r="E476" s="75"/>
      <c r="F476" s="613"/>
      <c r="G476" s="739"/>
      <c r="H476" s="75"/>
      <c r="I476" s="75"/>
      <c r="J476" s="75"/>
      <c r="K476" s="75"/>
      <c r="L476" s="75"/>
      <c r="M476" s="75"/>
      <c r="N476" s="75"/>
      <c r="O476" s="75"/>
      <c r="P476" s="75"/>
      <c r="Q476" s="75"/>
      <c r="R476" s="75"/>
      <c r="S476" s="75"/>
      <c r="T476" s="75"/>
      <c r="U476" s="75"/>
      <c r="V476" s="75"/>
      <c r="W476" s="75"/>
      <c r="X476" s="75"/>
      <c r="Y476" s="75"/>
      <c r="Z476" s="75"/>
      <c r="AA476" s="75"/>
    </row>
    <row r="477" spans="1:27" s="126" customFormat="1">
      <c r="A477" s="76"/>
      <c r="B477" s="76"/>
      <c r="C477" s="75"/>
      <c r="D477" s="575"/>
      <c r="E477" s="75"/>
      <c r="F477" s="613"/>
      <c r="G477" s="739"/>
      <c r="H477" s="75"/>
      <c r="I477" s="75"/>
      <c r="J477" s="75"/>
      <c r="K477" s="75"/>
      <c r="L477" s="75"/>
      <c r="M477" s="75"/>
      <c r="N477" s="75"/>
      <c r="O477" s="75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  <c r="AA477" s="75"/>
    </row>
    <row r="478" spans="1:27" s="126" customFormat="1">
      <c r="A478" s="76"/>
      <c r="B478" s="76"/>
      <c r="C478" s="75"/>
      <c r="D478" s="575"/>
      <c r="E478" s="75"/>
      <c r="F478" s="613"/>
      <c r="G478" s="739"/>
      <c r="H478" s="75"/>
      <c r="I478" s="75"/>
      <c r="J478" s="75"/>
      <c r="K478" s="75"/>
      <c r="L478" s="75"/>
      <c r="M478" s="75"/>
      <c r="N478" s="75"/>
      <c r="O478" s="75"/>
      <c r="P478" s="75"/>
      <c r="Q478" s="75"/>
      <c r="R478" s="75"/>
      <c r="S478" s="75"/>
      <c r="T478" s="75"/>
      <c r="U478" s="75"/>
      <c r="V478" s="75"/>
      <c r="W478" s="75"/>
      <c r="X478" s="75"/>
      <c r="Y478" s="75"/>
      <c r="Z478" s="75"/>
      <c r="AA478" s="75"/>
    </row>
    <row r="479" spans="1:27" s="126" customFormat="1">
      <c r="A479" s="76"/>
      <c r="B479" s="76"/>
      <c r="C479" s="75"/>
      <c r="D479" s="575"/>
      <c r="E479" s="75"/>
      <c r="F479" s="613"/>
      <c r="G479" s="739"/>
      <c r="H479" s="75"/>
      <c r="I479" s="75"/>
      <c r="J479" s="75"/>
      <c r="K479" s="75"/>
      <c r="L479" s="75"/>
      <c r="M479" s="75"/>
      <c r="N479" s="75"/>
      <c r="O479" s="75"/>
      <c r="P479" s="75"/>
      <c r="Q479" s="75"/>
      <c r="R479" s="75"/>
      <c r="S479" s="75"/>
      <c r="T479" s="75"/>
      <c r="U479" s="75"/>
      <c r="V479" s="75"/>
      <c r="W479" s="75"/>
      <c r="X479" s="75"/>
      <c r="Y479" s="75"/>
      <c r="Z479" s="75"/>
      <c r="AA479" s="75"/>
    </row>
    <row r="480" spans="1:27" s="126" customFormat="1">
      <c r="A480" s="76"/>
      <c r="B480" s="76"/>
      <c r="C480" s="75"/>
      <c r="D480" s="575"/>
      <c r="E480" s="75"/>
      <c r="F480" s="613"/>
      <c r="G480" s="739"/>
      <c r="H480" s="75"/>
      <c r="I480" s="75"/>
      <c r="J480" s="75"/>
      <c r="K480" s="75"/>
      <c r="L480" s="75"/>
      <c r="M480" s="75"/>
      <c r="N480" s="75"/>
      <c r="O480" s="75"/>
      <c r="P480" s="75"/>
      <c r="Q480" s="75"/>
      <c r="R480" s="75"/>
      <c r="S480" s="75"/>
      <c r="T480" s="75"/>
      <c r="U480" s="75"/>
      <c r="V480" s="75"/>
      <c r="W480" s="75"/>
      <c r="X480" s="75"/>
      <c r="Y480" s="75"/>
      <c r="Z480" s="75"/>
      <c r="AA480" s="75"/>
    </row>
    <row r="481" spans="1:27" s="126" customFormat="1">
      <c r="A481" s="76"/>
      <c r="B481" s="76"/>
      <c r="C481" s="75"/>
      <c r="D481" s="575"/>
      <c r="E481" s="75"/>
      <c r="F481" s="613"/>
      <c r="G481" s="739"/>
      <c r="H481" s="75"/>
      <c r="I481" s="75"/>
      <c r="J481" s="75"/>
      <c r="K481" s="75"/>
      <c r="L481" s="75"/>
      <c r="M481" s="75"/>
      <c r="N481" s="75"/>
      <c r="O481" s="75"/>
      <c r="P481" s="75"/>
      <c r="Q481" s="75"/>
      <c r="R481" s="75"/>
      <c r="S481" s="75"/>
      <c r="T481" s="75"/>
      <c r="U481" s="75"/>
      <c r="V481" s="75"/>
      <c r="W481" s="75"/>
      <c r="X481" s="75"/>
      <c r="Y481" s="75"/>
      <c r="Z481" s="75"/>
      <c r="AA481" s="75"/>
    </row>
    <row r="482" spans="1:27" s="126" customFormat="1">
      <c r="A482" s="76"/>
      <c r="B482" s="76"/>
      <c r="C482" s="75"/>
      <c r="D482" s="575"/>
      <c r="E482" s="75"/>
      <c r="F482" s="613"/>
      <c r="G482" s="739"/>
      <c r="H482" s="75"/>
      <c r="I482" s="75"/>
      <c r="J482" s="75"/>
      <c r="K482" s="75"/>
      <c r="L482" s="75"/>
      <c r="M482" s="75"/>
      <c r="N482" s="75"/>
      <c r="O482" s="75"/>
      <c r="P482" s="75"/>
      <c r="Q482" s="75"/>
      <c r="R482" s="75"/>
      <c r="S482" s="75"/>
      <c r="T482" s="75"/>
      <c r="U482" s="75"/>
      <c r="V482" s="75"/>
      <c r="W482" s="75"/>
      <c r="X482" s="75"/>
      <c r="Y482" s="75"/>
      <c r="Z482" s="75"/>
      <c r="AA482" s="75"/>
    </row>
    <row r="483" spans="1:27" s="126" customFormat="1">
      <c r="A483" s="76"/>
      <c r="B483" s="76"/>
      <c r="C483" s="75"/>
      <c r="D483" s="575"/>
      <c r="E483" s="75"/>
      <c r="F483" s="613"/>
      <c r="G483" s="739"/>
      <c r="H483" s="75"/>
      <c r="I483" s="75"/>
      <c r="J483" s="75"/>
      <c r="K483" s="75"/>
      <c r="L483" s="75"/>
      <c r="M483" s="75"/>
      <c r="N483" s="75"/>
      <c r="O483" s="75"/>
      <c r="P483" s="75"/>
      <c r="Q483" s="75"/>
      <c r="R483" s="75"/>
      <c r="S483" s="75"/>
      <c r="T483" s="75"/>
      <c r="U483" s="75"/>
      <c r="V483" s="75"/>
      <c r="W483" s="75"/>
      <c r="X483" s="75"/>
      <c r="Y483" s="75"/>
      <c r="Z483" s="75"/>
      <c r="AA483" s="75"/>
    </row>
    <row r="484" spans="1:27" s="126" customFormat="1">
      <c r="A484" s="76"/>
      <c r="B484" s="76"/>
      <c r="C484" s="75"/>
      <c r="D484" s="575"/>
      <c r="E484" s="75"/>
      <c r="F484" s="613"/>
      <c r="G484" s="739"/>
      <c r="H484" s="75"/>
      <c r="I484" s="75"/>
      <c r="J484" s="75"/>
      <c r="K484" s="75"/>
      <c r="L484" s="75"/>
      <c r="M484" s="75"/>
      <c r="N484" s="75"/>
      <c r="O484" s="75"/>
      <c r="P484" s="75"/>
      <c r="Q484" s="75"/>
      <c r="R484" s="75"/>
      <c r="S484" s="75"/>
      <c r="T484" s="75"/>
      <c r="U484" s="75"/>
      <c r="V484" s="75"/>
      <c r="W484" s="75"/>
      <c r="X484" s="75"/>
      <c r="Y484" s="75"/>
      <c r="Z484" s="75"/>
      <c r="AA484" s="75"/>
    </row>
    <row r="485" spans="1:27" s="126" customFormat="1">
      <c r="A485" s="76"/>
      <c r="B485" s="76"/>
      <c r="C485" s="75"/>
      <c r="D485" s="575"/>
      <c r="E485" s="75"/>
      <c r="F485" s="613"/>
      <c r="G485" s="739"/>
      <c r="H485" s="75"/>
      <c r="I485" s="75"/>
      <c r="J485" s="75"/>
      <c r="K485" s="75"/>
      <c r="L485" s="75"/>
      <c r="M485" s="75"/>
      <c r="N485" s="75"/>
      <c r="O485" s="75"/>
      <c r="P485" s="75"/>
      <c r="Q485" s="75"/>
      <c r="R485" s="75"/>
      <c r="S485" s="75"/>
      <c r="T485" s="75"/>
      <c r="U485" s="75"/>
      <c r="V485" s="75"/>
      <c r="W485" s="75"/>
      <c r="X485" s="75"/>
      <c r="Y485" s="75"/>
      <c r="Z485" s="75"/>
      <c r="AA485" s="75"/>
    </row>
    <row r="486" spans="1:27" s="126" customFormat="1">
      <c r="A486" s="76"/>
      <c r="B486" s="76"/>
      <c r="C486" s="75"/>
      <c r="D486" s="575"/>
      <c r="E486" s="75"/>
      <c r="F486" s="613"/>
      <c r="G486" s="739"/>
      <c r="H486" s="75"/>
      <c r="I486" s="75"/>
      <c r="J486" s="75"/>
      <c r="K486" s="75"/>
      <c r="L486" s="75"/>
      <c r="M486" s="75"/>
      <c r="N486" s="75"/>
      <c r="O486" s="75"/>
      <c r="P486" s="75"/>
      <c r="Q486" s="75"/>
      <c r="R486" s="75"/>
      <c r="S486" s="75"/>
      <c r="T486" s="75"/>
      <c r="U486" s="75"/>
      <c r="V486" s="75"/>
      <c r="W486" s="75"/>
      <c r="X486" s="75"/>
      <c r="Y486" s="75"/>
      <c r="Z486" s="75"/>
      <c r="AA486" s="75"/>
    </row>
    <row r="487" spans="1:27" s="126" customFormat="1">
      <c r="A487" s="76"/>
      <c r="B487" s="76"/>
      <c r="C487" s="75"/>
      <c r="D487" s="575"/>
      <c r="E487" s="75"/>
      <c r="F487" s="613"/>
      <c r="G487" s="739"/>
      <c r="H487" s="75"/>
      <c r="I487" s="75"/>
      <c r="J487" s="75"/>
      <c r="K487" s="75"/>
      <c r="L487" s="75"/>
      <c r="M487" s="75"/>
      <c r="N487" s="75"/>
      <c r="O487" s="75"/>
      <c r="P487" s="75"/>
      <c r="Q487" s="75"/>
      <c r="R487" s="75"/>
      <c r="S487" s="75"/>
      <c r="T487" s="75"/>
      <c r="U487" s="75"/>
      <c r="V487" s="75"/>
      <c r="W487" s="75"/>
      <c r="X487" s="75"/>
      <c r="Y487" s="75"/>
      <c r="Z487" s="75"/>
      <c r="AA487" s="75"/>
    </row>
    <row r="488" spans="1:27" s="126" customFormat="1">
      <c r="A488" s="76"/>
      <c r="B488" s="76"/>
      <c r="C488" s="75"/>
      <c r="D488" s="575"/>
      <c r="E488" s="75"/>
      <c r="F488" s="613"/>
      <c r="G488" s="739"/>
      <c r="H488" s="75"/>
      <c r="I488" s="75"/>
      <c r="J488" s="75"/>
      <c r="K488" s="75"/>
      <c r="L488" s="75"/>
      <c r="M488" s="75"/>
      <c r="N488" s="75"/>
      <c r="O488" s="75"/>
      <c r="P488" s="75"/>
      <c r="Q488" s="75"/>
      <c r="R488" s="75"/>
      <c r="S488" s="75"/>
      <c r="T488" s="75"/>
      <c r="U488" s="75"/>
      <c r="V488" s="75"/>
      <c r="W488" s="75"/>
      <c r="X488" s="75"/>
      <c r="Y488" s="75"/>
      <c r="Z488" s="75"/>
      <c r="AA488" s="75"/>
    </row>
    <row r="489" spans="1:27" s="126" customFormat="1">
      <c r="A489" s="76"/>
      <c r="B489" s="76"/>
      <c r="C489" s="75"/>
      <c r="D489" s="575"/>
      <c r="E489" s="75"/>
      <c r="F489" s="613"/>
      <c r="G489" s="739"/>
      <c r="H489" s="75"/>
      <c r="I489" s="75"/>
      <c r="J489" s="75"/>
      <c r="K489" s="75"/>
      <c r="L489" s="75"/>
      <c r="M489" s="75"/>
      <c r="N489" s="75"/>
      <c r="O489" s="75"/>
      <c r="P489" s="75"/>
      <c r="Q489" s="75"/>
      <c r="R489" s="75"/>
      <c r="S489" s="75"/>
      <c r="T489" s="75"/>
      <c r="U489" s="75"/>
      <c r="V489" s="75"/>
      <c r="W489" s="75"/>
      <c r="X489" s="75"/>
      <c r="Y489" s="75"/>
      <c r="Z489" s="75"/>
      <c r="AA489" s="75"/>
    </row>
    <row r="490" spans="1:27" s="126" customFormat="1">
      <c r="A490" s="76"/>
      <c r="B490" s="76"/>
      <c r="C490" s="75"/>
      <c r="D490" s="575"/>
      <c r="E490" s="75"/>
      <c r="F490" s="613"/>
      <c r="G490" s="739"/>
      <c r="H490" s="75"/>
      <c r="I490" s="75"/>
      <c r="J490" s="75"/>
      <c r="K490" s="75"/>
      <c r="L490" s="75"/>
      <c r="M490" s="75"/>
      <c r="N490" s="75"/>
      <c r="O490" s="75"/>
      <c r="P490" s="75"/>
      <c r="Q490" s="75"/>
      <c r="R490" s="75"/>
      <c r="S490" s="75"/>
      <c r="T490" s="75"/>
      <c r="U490" s="75"/>
      <c r="V490" s="75"/>
      <c r="W490" s="75"/>
      <c r="X490" s="75"/>
      <c r="Y490" s="75"/>
      <c r="Z490" s="75"/>
      <c r="AA490" s="75"/>
    </row>
    <row r="491" spans="1:27" s="126" customFormat="1">
      <c r="A491" s="76"/>
      <c r="B491" s="76"/>
      <c r="C491" s="75"/>
      <c r="D491" s="575"/>
      <c r="E491" s="75"/>
      <c r="F491" s="613"/>
      <c r="G491" s="739"/>
      <c r="H491" s="75"/>
      <c r="I491" s="75"/>
      <c r="J491" s="75"/>
      <c r="K491" s="75"/>
      <c r="L491" s="75"/>
      <c r="M491" s="75"/>
      <c r="N491" s="75"/>
      <c r="O491" s="75"/>
      <c r="P491" s="75"/>
      <c r="Q491" s="75"/>
      <c r="R491" s="75"/>
      <c r="S491" s="75"/>
      <c r="T491" s="75"/>
      <c r="U491" s="75"/>
      <c r="V491" s="75"/>
      <c r="W491" s="75"/>
      <c r="X491" s="75"/>
      <c r="Y491" s="75"/>
      <c r="Z491" s="75"/>
      <c r="AA491" s="75"/>
    </row>
    <row r="492" spans="1:27" s="126" customFormat="1">
      <c r="A492" s="76"/>
      <c r="B492" s="76"/>
      <c r="C492" s="75"/>
      <c r="D492" s="575"/>
      <c r="E492" s="75"/>
      <c r="F492" s="613"/>
      <c r="G492" s="739"/>
      <c r="H492" s="75"/>
      <c r="I492" s="75"/>
      <c r="J492" s="75"/>
      <c r="K492" s="75"/>
      <c r="L492" s="75"/>
      <c r="M492" s="75"/>
      <c r="N492" s="75"/>
      <c r="O492" s="75"/>
      <c r="P492" s="75"/>
      <c r="Q492" s="75"/>
      <c r="R492" s="75"/>
      <c r="S492" s="75"/>
      <c r="T492" s="75"/>
      <c r="U492" s="75"/>
      <c r="V492" s="75"/>
      <c r="W492" s="75"/>
      <c r="X492" s="75"/>
      <c r="Y492" s="75"/>
      <c r="Z492" s="75"/>
      <c r="AA492" s="75"/>
    </row>
    <row r="493" spans="1:27" s="126" customFormat="1">
      <c r="A493" s="76"/>
      <c r="B493" s="76"/>
      <c r="C493" s="75"/>
      <c r="D493" s="575"/>
      <c r="E493" s="75"/>
      <c r="F493" s="613"/>
      <c r="G493" s="739"/>
      <c r="H493" s="75"/>
      <c r="I493" s="75"/>
      <c r="J493" s="75"/>
      <c r="K493" s="75"/>
      <c r="L493" s="75"/>
      <c r="M493" s="75"/>
      <c r="N493" s="75"/>
      <c r="O493" s="75"/>
      <c r="P493" s="75"/>
      <c r="Q493" s="75"/>
      <c r="R493" s="75"/>
      <c r="S493" s="75"/>
      <c r="T493" s="75"/>
      <c r="U493" s="75"/>
      <c r="V493" s="75"/>
      <c r="W493" s="75"/>
      <c r="X493" s="75"/>
      <c r="Y493" s="75"/>
      <c r="Z493" s="75"/>
      <c r="AA493" s="75"/>
    </row>
    <row r="494" spans="1:27" s="126" customFormat="1">
      <c r="A494" s="76"/>
      <c r="B494" s="76"/>
      <c r="C494" s="75"/>
      <c r="D494" s="575"/>
      <c r="E494" s="75"/>
      <c r="F494" s="613"/>
      <c r="G494" s="739"/>
      <c r="H494" s="75"/>
      <c r="I494" s="75"/>
      <c r="J494" s="75"/>
      <c r="K494" s="75"/>
      <c r="L494" s="75"/>
      <c r="M494" s="75"/>
      <c r="N494" s="75"/>
      <c r="O494" s="75"/>
      <c r="P494" s="75"/>
      <c r="Q494" s="75"/>
      <c r="R494" s="75"/>
      <c r="S494" s="75"/>
      <c r="T494" s="75"/>
      <c r="U494" s="75"/>
      <c r="V494" s="75"/>
      <c r="W494" s="75"/>
      <c r="X494" s="75"/>
      <c r="Y494" s="75"/>
      <c r="Z494" s="75"/>
      <c r="AA494" s="75"/>
    </row>
    <row r="495" spans="1:27" s="126" customFormat="1">
      <c r="A495" s="76"/>
      <c r="B495" s="76"/>
      <c r="C495" s="75"/>
      <c r="D495" s="575"/>
      <c r="E495" s="75"/>
      <c r="F495" s="613"/>
      <c r="G495" s="739"/>
      <c r="H495" s="75"/>
      <c r="I495" s="75"/>
      <c r="J495" s="75"/>
      <c r="K495" s="75"/>
      <c r="L495" s="75"/>
      <c r="M495" s="75"/>
      <c r="N495" s="75"/>
      <c r="O495" s="75"/>
      <c r="P495" s="75"/>
      <c r="Q495" s="75"/>
      <c r="R495" s="75"/>
      <c r="S495" s="75"/>
      <c r="T495" s="75"/>
      <c r="U495" s="75"/>
      <c r="V495" s="75"/>
      <c r="W495" s="75"/>
      <c r="X495" s="75"/>
      <c r="Y495" s="75"/>
      <c r="Z495" s="75"/>
      <c r="AA495" s="75"/>
    </row>
    <row r="496" spans="1:27" s="126" customFormat="1">
      <c r="A496" s="76"/>
      <c r="B496" s="76"/>
      <c r="C496" s="75"/>
      <c r="D496" s="575"/>
      <c r="E496" s="75"/>
      <c r="F496" s="613"/>
      <c r="G496" s="739"/>
      <c r="H496" s="75"/>
      <c r="I496" s="75"/>
      <c r="J496" s="75"/>
      <c r="K496" s="75"/>
      <c r="L496" s="75"/>
      <c r="M496" s="75"/>
      <c r="N496" s="75"/>
      <c r="O496" s="75"/>
      <c r="P496" s="75"/>
      <c r="Q496" s="75"/>
      <c r="R496" s="75"/>
      <c r="S496" s="75"/>
      <c r="T496" s="75"/>
      <c r="U496" s="75"/>
      <c r="V496" s="75"/>
      <c r="W496" s="75"/>
      <c r="X496" s="75"/>
      <c r="Y496" s="75"/>
      <c r="Z496" s="75"/>
      <c r="AA496" s="75"/>
    </row>
    <row r="497" spans="1:27" s="126" customFormat="1">
      <c r="A497" s="76"/>
      <c r="B497" s="76"/>
      <c r="C497" s="75"/>
      <c r="D497" s="575"/>
      <c r="E497" s="75"/>
      <c r="F497" s="613"/>
      <c r="G497" s="739"/>
      <c r="H497" s="75"/>
      <c r="I497" s="75"/>
      <c r="J497" s="75"/>
      <c r="K497" s="75"/>
      <c r="L497" s="75"/>
      <c r="M497" s="75"/>
      <c r="N497" s="75"/>
      <c r="O497" s="75"/>
      <c r="P497" s="75"/>
      <c r="Q497" s="75"/>
      <c r="R497" s="75"/>
      <c r="S497" s="75"/>
      <c r="T497" s="75"/>
      <c r="U497" s="75"/>
      <c r="V497" s="75"/>
      <c r="W497" s="75"/>
      <c r="X497" s="75"/>
      <c r="Y497" s="75"/>
      <c r="Z497" s="75"/>
      <c r="AA497" s="75"/>
    </row>
    <row r="498" spans="1:27" s="126" customFormat="1">
      <c r="A498" s="76"/>
      <c r="B498" s="76"/>
      <c r="C498" s="75"/>
      <c r="D498" s="575"/>
      <c r="E498" s="75"/>
      <c r="F498" s="613"/>
      <c r="G498" s="739"/>
      <c r="H498" s="75"/>
      <c r="I498" s="75"/>
      <c r="J498" s="75"/>
      <c r="K498" s="75"/>
      <c r="L498" s="75"/>
      <c r="M498" s="75"/>
      <c r="N498" s="75"/>
      <c r="O498" s="75"/>
      <c r="P498" s="75"/>
      <c r="Q498" s="75"/>
      <c r="R498" s="75"/>
      <c r="S498" s="75"/>
      <c r="T498" s="75"/>
      <c r="U498" s="75"/>
      <c r="V498" s="75"/>
      <c r="W498" s="75"/>
      <c r="X498" s="75"/>
      <c r="Y498" s="75"/>
      <c r="Z498" s="75"/>
      <c r="AA498" s="75"/>
    </row>
    <row r="499" spans="1:27" s="126" customFormat="1">
      <c r="A499" s="76"/>
      <c r="B499" s="76"/>
      <c r="C499" s="75"/>
      <c r="D499" s="575"/>
      <c r="E499" s="75"/>
      <c r="F499" s="613"/>
      <c r="G499" s="739"/>
      <c r="H499" s="75"/>
      <c r="I499" s="75"/>
      <c r="J499" s="75"/>
      <c r="K499" s="75"/>
      <c r="L499" s="75"/>
      <c r="M499" s="75"/>
      <c r="N499" s="75"/>
      <c r="O499" s="75"/>
      <c r="P499" s="75"/>
      <c r="Q499" s="75"/>
      <c r="R499" s="75"/>
      <c r="S499" s="75"/>
      <c r="T499" s="75"/>
      <c r="U499" s="75"/>
      <c r="V499" s="75"/>
      <c r="W499" s="75"/>
      <c r="X499" s="75"/>
      <c r="Y499" s="75"/>
      <c r="Z499" s="75"/>
      <c r="AA499" s="75"/>
    </row>
    <row r="500" spans="1:27" s="126" customFormat="1">
      <c r="A500" s="76"/>
      <c r="B500" s="76"/>
      <c r="C500" s="75"/>
      <c r="D500" s="575"/>
      <c r="E500" s="75"/>
      <c r="F500" s="613"/>
      <c r="G500" s="739"/>
      <c r="H500" s="75"/>
      <c r="I500" s="75"/>
      <c r="J500" s="75"/>
      <c r="K500" s="75"/>
      <c r="L500" s="75"/>
      <c r="M500" s="75"/>
      <c r="N500" s="75"/>
      <c r="O500" s="75"/>
      <c r="P500" s="75"/>
      <c r="Q500" s="75"/>
      <c r="R500" s="75"/>
      <c r="S500" s="75"/>
      <c r="T500" s="75"/>
      <c r="U500" s="75"/>
      <c r="V500" s="75"/>
      <c r="W500" s="75"/>
      <c r="X500" s="75"/>
      <c r="Y500" s="75"/>
      <c r="Z500" s="75"/>
      <c r="AA500" s="75"/>
    </row>
    <row r="501" spans="1:27" s="126" customFormat="1">
      <c r="A501" s="76"/>
      <c r="B501" s="76"/>
      <c r="C501" s="75"/>
      <c r="D501" s="575"/>
      <c r="E501" s="75"/>
      <c r="F501" s="613"/>
      <c r="G501" s="739"/>
      <c r="H501" s="75"/>
      <c r="I501" s="75"/>
      <c r="J501" s="75"/>
      <c r="K501" s="75"/>
      <c r="L501" s="75"/>
      <c r="M501" s="75"/>
      <c r="N501" s="75"/>
      <c r="O501" s="75"/>
      <c r="P501" s="75"/>
      <c r="Q501" s="75"/>
      <c r="R501" s="75"/>
      <c r="S501" s="75"/>
      <c r="T501" s="75"/>
      <c r="U501" s="75"/>
      <c r="V501" s="75"/>
      <c r="W501" s="75"/>
      <c r="X501" s="75"/>
      <c r="Y501" s="75"/>
      <c r="Z501" s="75"/>
      <c r="AA501" s="75"/>
    </row>
    <row r="502" spans="1:27" s="126" customFormat="1">
      <c r="A502" s="76"/>
      <c r="B502" s="76"/>
      <c r="C502" s="75"/>
      <c r="D502" s="575"/>
      <c r="E502" s="75"/>
      <c r="F502" s="613"/>
      <c r="G502" s="739"/>
      <c r="H502" s="75"/>
      <c r="I502" s="75"/>
      <c r="J502" s="75"/>
      <c r="K502" s="75"/>
      <c r="L502" s="75"/>
      <c r="M502" s="75"/>
      <c r="N502" s="75"/>
      <c r="O502" s="75"/>
      <c r="P502" s="75"/>
      <c r="Q502" s="75"/>
      <c r="R502" s="75"/>
      <c r="S502" s="75"/>
      <c r="T502" s="75"/>
      <c r="U502" s="75"/>
      <c r="V502" s="75"/>
      <c r="W502" s="75"/>
      <c r="X502" s="75"/>
      <c r="Y502" s="75"/>
      <c r="Z502" s="75"/>
      <c r="AA502" s="75"/>
    </row>
    <row r="503" spans="1:27" s="126" customFormat="1">
      <c r="A503" s="76"/>
      <c r="B503" s="76"/>
      <c r="C503" s="75"/>
      <c r="D503" s="575"/>
      <c r="E503" s="75"/>
      <c r="F503" s="613"/>
      <c r="G503" s="739"/>
      <c r="H503" s="75"/>
      <c r="I503" s="75"/>
      <c r="J503" s="75"/>
      <c r="K503" s="75"/>
      <c r="L503" s="75"/>
      <c r="M503" s="75"/>
      <c r="N503" s="75"/>
      <c r="O503" s="75"/>
      <c r="P503" s="75"/>
      <c r="Q503" s="75"/>
      <c r="R503" s="75"/>
      <c r="S503" s="75"/>
      <c r="T503" s="75"/>
      <c r="U503" s="75"/>
      <c r="V503" s="75"/>
      <c r="W503" s="75"/>
      <c r="X503" s="75"/>
      <c r="Y503" s="75"/>
      <c r="Z503" s="75"/>
      <c r="AA503" s="75"/>
    </row>
    <row r="504" spans="1:27" s="126" customFormat="1">
      <c r="A504" s="76"/>
      <c r="B504" s="76"/>
      <c r="C504" s="75"/>
      <c r="D504" s="575"/>
      <c r="E504" s="75"/>
      <c r="F504" s="613"/>
      <c r="G504" s="739"/>
      <c r="H504" s="75"/>
      <c r="I504" s="75"/>
      <c r="J504" s="75"/>
      <c r="K504" s="75"/>
      <c r="L504" s="75"/>
      <c r="M504" s="75"/>
      <c r="N504" s="75"/>
      <c r="O504" s="75"/>
      <c r="P504" s="75"/>
      <c r="Q504" s="75"/>
      <c r="R504" s="75"/>
      <c r="S504" s="75"/>
      <c r="T504" s="75"/>
      <c r="U504" s="75"/>
      <c r="V504" s="75"/>
      <c r="W504" s="75"/>
      <c r="X504" s="75"/>
      <c r="Y504" s="75"/>
      <c r="Z504" s="75"/>
      <c r="AA504" s="75"/>
    </row>
    <row r="505" spans="1:27" s="126" customFormat="1">
      <c r="A505" s="76"/>
      <c r="B505" s="76"/>
      <c r="C505" s="75"/>
      <c r="D505" s="575"/>
      <c r="E505" s="75"/>
      <c r="F505" s="613"/>
      <c r="G505" s="739"/>
      <c r="H505" s="75"/>
      <c r="I505" s="75"/>
      <c r="J505" s="75"/>
      <c r="K505" s="75"/>
      <c r="L505" s="75"/>
      <c r="M505" s="75"/>
      <c r="N505" s="75"/>
      <c r="O505" s="75"/>
      <c r="P505" s="75"/>
      <c r="Q505" s="75"/>
      <c r="R505" s="75"/>
      <c r="S505" s="75"/>
      <c r="T505" s="75"/>
      <c r="U505" s="75"/>
      <c r="V505" s="75"/>
      <c r="W505" s="75"/>
      <c r="X505" s="75"/>
      <c r="Y505" s="75"/>
      <c r="Z505" s="75"/>
      <c r="AA505" s="75"/>
    </row>
    <row r="506" spans="1:27" s="126" customFormat="1">
      <c r="A506" s="76"/>
      <c r="B506" s="76"/>
      <c r="C506" s="75"/>
      <c r="D506" s="575"/>
      <c r="E506" s="75"/>
      <c r="F506" s="613"/>
      <c r="G506" s="739"/>
      <c r="H506" s="75"/>
      <c r="I506" s="75"/>
      <c r="J506" s="75"/>
      <c r="K506" s="75"/>
      <c r="L506" s="75"/>
      <c r="M506" s="75"/>
      <c r="N506" s="75"/>
      <c r="O506" s="75"/>
      <c r="P506" s="75"/>
      <c r="Q506" s="75"/>
      <c r="R506" s="75"/>
      <c r="S506" s="75"/>
      <c r="T506" s="75"/>
      <c r="U506" s="75"/>
      <c r="V506" s="75"/>
      <c r="W506" s="75"/>
      <c r="X506" s="75"/>
      <c r="Y506" s="75"/>
      <c r="Z506" s="75"/>
      <c r="AA506" s="75"/>
    </row>
    <row r="507" spans="1:27" s="126" customFormat="1">
      <c r="A507" s="76"/>
      <c r="B507" s="76"/>
      <c r="C507" s="75"/>
      <c r="D507" s="575"/>
      <c r="E507" s="75"/>
      <c r="F507" s="613"/>
      <c r="G507" s="739"/>
      <c r="H507" s="75"/>
      <c r="I507" s="75"/>
      <c r="J507" s="75"/>
      <c r="K507" s="75"/>
      <c r="L507" s="75"/>
      <c r="M507" s="75"/>
      <c r="N507" s="75"/>
      <c r="O507" s="75"/>
      <c r="P507" s="75"/>
      <c r="Q507" s="75"/>
      <c r="R507" s="75"/>
      <c r="S507" s="75"/>
      <c r="T507" s="75"/>
      <c r="U507" s="75"/>
      <c r="V507" s="75"/>
      <c r="W507" s="75"/>
      <c r="X507" s="75"/>
      <c r="Y507" s="75"/>
      <c r="Z507" s="75"/>
      <c r="AA507" s="75"/>
    </row>
    <row r="508" spans="1:27" s="126" customFormat="1">
      <c r="A508" s="76"/>
      <c r="B508" s="76"/>
      <c r="C508" s="75"/>
      <c r="D508" s="575"/>
      <c r="E508" s="75"/>
      <c r="F508" s="613"/>
      <c r="G508" s="739"/>
      <c r="H508" s="75"/>
      <c r="I508" s="75"/>
      <c r="J508" s="75"/>
      <c r="K508" s="75"/>
      <c r="L508" s="75"/>
      <c r="M508" s="75"/>
      <c r="N508" s="75"/>
      <c r="O508" s="75"/>
      <c r="P508" s="75"/>
      <c r="Q508" s="75"/>
      <c r="R508" s="75"/>
      <c r="S508" s="75"/>
      <c r="T508" s="75"/>
      <c r="U508" s="75"/>
      <c r="V508" s="75"/>
      <c r="W508" s="75"/>
      <c r="X508" s="75"/>
      <c r="Y508" s="75"/>
      <c r="Z508" s="75"/>
      <c r="AA508" s="75"/>
    </row>
    <row r="509" spans="1:27" s="126" customFormat="1">
      <c r="A509" s="76"/>
      <c r="B509" s="76"/>
      <c r="C509" s="75"/>
      <c r="D509" s="575"/>
      <c r="E509" s="75"/>
      <c r="F509" s="613"/>
      <c r="G509" s="739"/>
      <c r="H509" s="75"/>
      <c r="I509" s="75"/>
      <c r="J509" s="75"/>
      <c r="K509" s="75"/>
      <c r="L509" s="75"/>
      <c r="M509" s="75"/>
      <c r="N509" s="75"/>
      <c r="O509" s="75"/>
      <c r="P509" s="75"/>
      <c r="Q509" s="75"/>
      <c r="R509" s="75"/>
      <c r="S509" s="75"/>
      <c r="T509" s="75"/>
      <c r="U509" s="75"/>
      <c r="V509" s="75"/>
      <c r="W509" s="75"/>
      <c r="X509" s="75"/>
      <c r="Y509" s="75"/>
      <c r="Z509" s="75"/>
      <c r="AA509" s="75"/>
    </row>
    <row r="510" spans="1:27" s="126" customFormat="1">
      <c r="A510" s="76"/>
      <c r="B510" s="76"/>
      <c r="C510" s="75"/>
      <c r="D510" s="575"/>
      <c r="E510" s="75"/>
      <c r="F510" s="613"/>
      <c r="G510" s="739"/>
      <c r="H510" s="75"/>
      <c r="I510" s="75"/>
      <c r="J510" s="75"/>
      <c r="K510" s="75"/>
      <c r="L510" s="75"/>
      <c r="M510" s="75"/>
      <c r="N510" s="75"/>
      <c r="O510" s="75"/>
      <c r="P510" s="75"/>
      <c r="Q510" s="75"/>
      <c r="R510" s="75"/>
      <c r="S510" s="75"/>
      <c r="T510" s="75"/>
      <c r="U510" s="75"/>
      <c r="V510" s="75"/>
      <c r="W510" s="75"/>
      <c r="X510" s="75"/>
      <c r="Y510" s="75"/>
      <c r="Z510" s="75"/>
      <c r="AA510" s="75"/>
    </row>
    <row r="511" spans="1:27" s="126" customFormat="1">
      <c r="A511" s="76"/>
      <c r="B511" s="76"/>
      <c r="C511" s="75"/>
      <c r="D511" s="575"/>
      <c r="E511" s="75"/>
      <c r="F511" s="613"/>
      <c r="G511" s="739"/>
      <c r="H511" s="75"/>
      <c r="I511" s="75"/>
      <c r="J511" s="75"/>
      <c r="K511" s="75"/>
      <c r="L511" s="75"/>
      <c r="M511" s="75"/>
      <c r="N511" s="75"/>
      <c r="O511" s="75"/>
      <c r="P511" s="75"/>
      <c r="Q511" s="75"/>
      <c r="R511" s="75"/>
      <c r="S511" s="75"/>
      <c r="T511" s="75"/>
      <c r="U511" s="75"/>
      <c r="V511" s="75"/>
      <c r="W511" s="75"/>
      <c r="X511" s="75"/>
      <c r="Y511" s="75"/>
      <c r="Z511" s="75"/>
      <c r="AA511" s="75"/>
    </row>
    <row r="512" spans="1:27" s="126" customFormat="1">
      <c r="A512" s="76"/>
      <c r="B512" s="76"/>
      <c r="C512" s="75"/>
      <c r="D512" s="575"/>
      <c r="E512" s="75"/>
      <c r="F512" s="613"/>
      <c r="G512" s="739"/>
      <c r="H512" s="75"/>
      <c r="I512" s="75"/>
      <c r="J512" s="75"/>
      <c r="K512" s="75"/>
      <c r="L512" s="75"/>
      <c r="M512" s="75"/>
      <c r="N512" s="75"/>
      <c r="O512" s="75"/>
      <c r="P512" s="75"/>
      <c r="Q512" s="75"/>
      <c r="R512" s="75"/>
      <c r="S512" s="75"/>
      <c r="T512" s="75"/>
      <c r="U512" s="75"/>
      <c r="V512" s="75"/>
      <c r="W512" s="75"/>
      <c r="X512" s="75"/>
      <c r="Y512" s="75"/>
      <c r="Z512" s="75"/>
      <c r="AA512" s="75"/>
    </row>
    <row r="513" spans="1:27" s="126" customFormat="1">
      <c r="A513" s="76"/>
      <c r="B513" s="76"/>
      <c r="C513" s="75"/>
      <c r="D513" s="575"/>
      <c r="E513" s="75"/>
      <c r="F513" s="613"/>
      <c r="G513" s="739"/>
      <c r="H513" s="75"/>
      <c r="I513" s="75"/>
      <c r="J513" s="75"/>
      <c r="K513" s="75"/>
      <c r="L513" s="75"/>
      <c r="M513" s="75"/>
      <c r="N513" s="75"/>
      <c r="O513" s="75"/>
      <c r="P513" s="75"/>
      <c r="Q513" s="75"/>
      <c r="R513" s="75"/>
      <c r="S513" s="75"/>
      <c r="T513" s="75"/>
      <c r="U513" s="75"/>
      <c r="V513" s="75"/>
      <c r="W513" s="75"/>
      <c r="X513" s="75"/>
      <c r="Y513" s="75"/>
      <c r="Z513" s="75"/>
      <c r="AA513" s="75"/>
    </row>
    <row r="514" spans="1:27" s="126" customFormat="1">
      <c r="A514" s="76"/>
      <c r="B514" s="76"/>
      <c r="C514" s="75"/>
      <c r="D514" s="575"/>
      <c r="E514" s="75"/>
      <c r="F514" s="613"/>
      <c r="G514" s="739"/>
      <c r="H514" s="75"/>
      <c r="I514" s="75"/>
      <c r="J514" s="75"/>
      <c r="K514" s="75"/>
      <c r="L514" s="75"/>
      <c r="M514" s="75"/>
      <c r="N514" s="75"/>
      <c r="O514" s="75"/>
      <c r="P514" s="75"/>
      <c r="Q514" s="75"/>
      <c r="R514" s="75"/>
      <c r="S514" s="75"/>
      <c r="T514" s="75"/>
      <c r="U514" s="75"/>
      <c r="V514" s="75"/>
      <c r="W514" s="75"/>
      <c r="X514" s="75"/>
      <c r="Y514" s="75"/>
      <c r="Z514" s="75"/>
      <c r="AA514" s="75"/>
    </row>
    <row r="515" spans="1:27" s="126" customFormat="1">
      <c r="A515" s="76"/>
      <c r="B515" s="76"/>
      <c r="C515" s="75"/>
      <c r="D515" s="575"/>
      <c r="E515" s="75"/>
      <c r="F515" s="613"/>
      <c r="G515" s="739"/>
      <c r="H515" s="75"/>
      <c r="I515" s="75"/>
      <c r="J515" s="75"/>
      <c r="K515" s="75"/>
      <c r="L515" s="75"/>
      <c r="M515" s="75"/>
      <c r="N515" s="75"/>
      <c r="O515" s="75"/>
      <c r="P515" s="75"/>
      <c r="Q515" s="75"/>
      <c r="R515" s="75"/>
      <c r="S515" s="75"/>
      <c r="T515" s="75"/>
      <c r="U515" s="75"/>
      <c r="V515" s="75"/>
      <c r="W515" s="75"/>
      <c r="X515" s="75"/>
      <c r="Y515" s="75"/>
      <c r="Z515" s="75"/>
      <c r="AA515" s="75"/>
    </row>
    <row r="516" spans="1:27" s="126" customFormat="1">
      <c r="A516" s="76"/>
      <c r="B516" s="76"/>
      <c r="C516" s="75"/>
      <c r="D516" s="575"/>
      <c r="E516" s="75"/>
      <c r="F516" s="613"/>
      <c r="G516" s="739"/>
      <c r="H516" s="75"/>
      <c r="I516" s="75"/>
      <c r="J516" s="75"/>
      <c r="K516" s="75"/>
      <c r="L516" s="75"/>
      <c r="M516" s="75"/>
      <c r="N516" s="75"/>
      <c r="O516" s="75"/>
      <c r="P516" s="75"/>
      <c r="Q516" s="75"/>
      <c r="R516" s="75"/>
      <c r="S516" s="75"/>
      <c r="T516" s="75"/>
      <c r="U516" s="75"/>
      <c r="V516" s="75"/>
      <c r="W516" s="75"/>
      <c r="X516" s="75"/>
      <c r="Y516" s="75"/>
      <c r="Z516" s="75"/>
      <c r="AA516" s="75"/>
    </row>
    <row r="517" spans="1:27" s="126" customFormat="1">
      <c r="A517" s="76"/>
      <c r="B517" s="76"/>
      <c r="C517" s="75"/>
      <c r="D517" s="575"/>
      <c r="E517" s="75"/>
      <c r="F517" s="613"/>
      <c r="G517" s="739"/>
      <c r="H517" s="75"/>
      <c r="I517" s="75"/>
      <c r="J517" s="75"/>
      <c r="K517" s="75"/>
      <c r="L517" s="75"/>
      <c r="M517" s="75"/>
      <c r="N517" s="75"/>
      <c r="O517" s="75"/>
      <c r="P517" s="75"/>
      <c r="Q517" s="75"/>
      <c r="R517" s="75"/>
      <c r="S517" s="75"/>
      <c r="T517" s="75"/>
      <c r="U517" s="75"/>
      <c r="V517" s="75"/>
      <c r="W517" s="75"/>
      <c r="X517" s="75"/>
      <c r="Y517" s="75"/>
      <c r="Z517" s="75"/>
      <c r="AA517" s="75"/>
    </row>
    <row r="518" spans="1:27" s="126" customFormat="1">
      <c r="A518" s="76"/>
      <c r="B518" s="76"/>
      <c r="C518" s="75"/>
      <c r="D518" s="575"/>
      <c r="E518" s="75"/>
      <c r="F518" s="613"/>
      <c r="G518" s="739"/>
      <c r="H518" s="75"/>
      <c r="I518" s="75"/>
      <c r="J518" s="75"/>
      <c r="K518" s="75"/>
      <c r="L518" s="75"/>
      <c r="M518" s="75"/>
      <c r="N518" s="75"/>
      <c r="O518" s="75"/>
      <c r="P518" s="75"/>
      <c r="Q518" s="75"/>
      <c r="R518" s="75"/>
      <c r="S518" s="75"/>
      <c r="T518" s="75"/>
      <c r="U518" s="75"/>
      <c r="V518" s="75"/>
      <c r="W518" s="75"/>
      <c r="X518" s="75"/>
      <c r="Y518" s="75"/>
      <c r="Z518" s="75"/>
      <c r="AA518" s="75"/>
    </row>
    <row r="519" spans="1:27" s="126" customFormat="1">
      <c r="A519" s="76"/>
      <c r="B519" s="76"/>
      <c r="C519" s="75"/>
      <c r="D519" s="575"/>
      <c r="E519" s="75"/>
      <c r="F519" s="613"/>
      <c r="G519" s="739"/>
      <c r="H519" s="75"/>
      <c r="I519" s="75"/>
      <c r="J519" s="75"/>
      <c r="K519" s="75"/>
      <c r="L519" s="75"/>
      <c r="M519" s="75"/>
      <c r="N519" s="75"/>
      <c r="O519" s="75"/>
      <c r="P519" s="75"/>
      <c r="Q519" s="75"/>
      <c r="R519" s="75"/>
      <c r="S519" s="75"/>
      <c r="T519" s="75"/>
      <c r="U519" s="75"/>
      <c r="V519" s="75"/>
      <c r="W519" s="75"/>
      <c r="X519" s="75"/>
      <c r="Y519" s="75"/>
      <c r="Z519" s="75"/>
      <c r="AA519" s="75"/>
    </row>
    <row r="520" spans="1:27" s="126" customFormat="1">
      <c r="A520" s="76"/>
      <c r="B520" s="76"/>
      <c r="C520" s="75"/>
      <c r="D520" s="575"/>
      <c r="E520" s="75"/>
      <c r="F520" s="613"/>
      <c r="G520" s="739"/>
      <c r="H520" s="75"/>
      <c r="I520" s="75"/>
      <c r="J520" s="75"/>
      <c r="K520" s="75"/>
      <c r="L520" s="75"/>
      <c r="M520" s="75"/>
      <c r="N520" s="75"/>
      <c r="O520" s="75"/>
      <c r="P520" s="75"/>
      <c r="Q520" s="75"/>
      <c r="R520" s="75"/>
      <c r="S520" s="75"/>
      <c r="T520" s="75"/>
      <c r="U520" s="75"/>
      <c r="V520" s="75"/>
      <c r="W520" s="75"/>
      <c r="X520" s="75"/>
      <c r="Y520" s="75"/>
      <c r="Z520" s="75"/>
      <c r="AA520" s="75"/>
    </row>
    <row r="521" spans="1:27" s="126" customFormat="1">
      <c r="A521" s="76"/>
      <c r="B521" s="76"/>
      <c r="C521" s="75"/>
      <c r="D521" s="575"/>
      <c r="E521" s="75"/>
      <c r="F521" s="613"/>
      <c r="G521" s="739"/>
      <c r="H521" s="75"/>
      <c r="I521" s="75"/>
      <c r="J521" s="75"/>
      <c r="K521" s="75"/>
      <c r="L521" s="75"/>
      <c r="M521" s="75"/>
      <c r="N521" s="75"/>
      <c r="O521" s="75"/>
      <c r="P521" s="75"/>
      <c r="Q521" s="75"/>
      <c r="R521" s="75"/>
      <c r="S521" s="75"/>
      <c r="T521" s="75"/>
      <c r="U521" s="75"/>
      <c r="V521" s="75"/>
      <c r="W521" s="75"/>
      <c r="X521" s="75"/>
      <c r="Y521" s="75"/>
      <c r="Z521" s="75"/>
      <c r="AA521" s="75"/>
    </row>
    <row r="522" spans="1:27" s="126" customFormat="1">
      <c r="A522" s="76"/>
      <c r="B522" s="76"/>
      <c r="C522" s="75"/>
      <c r="D522" s="575"/>
      <c r="E522" s="75"/>
      <c r="F522" s="613"/>
      <c r="G522" s="739"/>
      <c r="H522" s="75"/>
      <c r="I522" s="75"/>
      <c r="J522" s="75"/>
      <c r="K522" s="75"/>
      <c r="L522" s="75"/>
      <c r="M522" s="75"/>
      <c r="N522" s="75"/>
      <c r="O522" s="75"/>
      <c r="P522" s="75"/>
      <c r="Q522" s="75"/>
      <c r="R522" s="75"/>
      <c r="S522" s="75"/>
      <c r="T522" s="75"/>
      <c r="U522" s="75"/>
      <c r="V522" s="75"/>
      <c r="W522" s="75"/>
      <c r="X522" s="75"/>
      <c r="Y522" s="75"/>
      <c r="Z522" s="75"/>
      <c r="AA522" s="75"/>
    </row>
    <row r="523" spans="1:27" s="126" customFormat="1">
      <c r="A523" s="76"/>
      <c r="B523" s="76"/>
      <c r="C523" s="75"/>
      <c r="D523" s="575"/>
      <c r="E523" s="75"/>
      <c r="F523" s="613"/>
      <c r="G523" s="739"/>
      <c r="H523" s="75"/>
      <c r="I523" s="75"/>
      <c r="J523" s="75"/>
      <c r="K523" s="75"/>
      <c r="L523" s="75"/>
      <c r="M523" s="75"/>
      <c r="N523" s="75"/>
      <c r="O523" s="75"/>
      <c r="P523" s="75"/>
      <c r="Q523" s="75"/>
      <c r="R523" s="75"/>
      <c r="S523" s="75"/>
      <c r="T523" s="75"/>
      <c r="U523" s="75"/>
      <c r="V523" s="75"/>
      <c r="W523" s="75"/>
      <c r="X523" s="75"/>
      <c r="Y523" s="75"/>
      <c r="Z523" s="75"/>
      <c r="AA523" s="75"/>
    </row>
    <row r="524" spans="1:27" s="126" customFormat="1">
      <c r="A524" s="76"/>
      <c r="B524" s="76"/>
      <c r="C524" s="75"/>
      <c r="D524" s="575"/>
      <c r="E524" s="75"/>
      <c r="F524" s="613"/>
      <c r="G524" s="739"/>
      <c r="H524" s="75"/>
      <c r="I524" s="75"/>
      <c r="J524" s="75"/>
      <c r="K524" s="75"/>
      <c r="L524" s="75"/>
      <c r="M524" s="75"/>
      <c r="N524" s="75"/>
      <c r="O524" s="75"/>
      <c r="P524" s="75"/>
      <c r="Q524" s="75"/>
      <c r="R524" s="75"/>
      <c r="S524" s="75"/>
      <c r="T524" s="75"/>
      <c r="U524" s="75"/>
      <c r="V524" s="75"/>
      <c r="W524" s="75"/>
      <c r="X524" s="75"/>
      <c r="Y524" s="75"/>
      <c r="Z524" s="75"/>
      <c r="AA524" s="75"/>
    </row>
    <row r="525" spans="1:27" s="126" customFormat="1">
      <c r="A525" s="76"/>
      <c r="B525" s="76"/>
      <c r="C525" s="75"/>
      <c r="D525" s="575"/>
      <c r="E525" s="75"/>
      <c r="F525" s="613"/>
      <c r="G525" s="739"/>
      <c r="H525" s="75"/>
      <c r="I525" s="75"/>
      <c r="J525" s="75"/>
      <c r="K525" s="75"/>
      <c r="L525" s="75"/>
      <c r="M525" s="75"/>
      <c r="N525" s="75"/>
      <c r="O525" s="75"/>
      <c r="P525" s="75"/>
      <c r="Q525" s="75"/>
      <c r="R525" s="75"/>
      <c r="S525" s="75"/>
      <c r="T525" s="75"/>
      <c r="U525" s="75"/>
      <c r="V525" s="75"/>
      <c r="W525" s="75"/>
      <c r="X525" s="75"/>
      <c r="Y525" s="75"/>
      <c r="Z525" s="75"/>
      <c r="AA525" s="75"/>
    </row>
    <row r="526" spans="1:27" s="126" customFormat="1">
      <c r="A526" s="76"/>
      <c r="B526" s="76"/>
      <c r="C526" s="75"/>
      <c r="D526" s="575"/>
      <c r="E526" s="75"/>
      <c r="F526" s="613"/>
      <c r="G526" s="739"/>
      <c r="H526" s="75"/>
      <c r="I526" s="75"/>
      <c r="J526" s="75"/>
      <c r="K526" s="75"/>
      <c r="L526" s="75"/>
      <c r="M526" s="75"/>
      <c r="N526" s="75"/>
      <c r="O526" s="75"/>
      <c r="P526" s="75"/>
      <c r="Q526" s="75"/>
      <c r="R526" s="75"/>
      <c r="S526" s="75"/>
      <c r="T526" s="75"/>
      <c r="U526" s="75"/>
      <c r="V526" s="75"/>
      <c r="W526" s="75"/>
      <c r="X526" s="75"/>
      <c r="Y526" s="75"/>
      <c r="Z526" s="75"/>
      <c r="AA526" s="75"/>
    </row>
    <row r="527" spans="1:27" s="126" customFormat="1">
      <c r="A527" s="76"/>
      <c r="B527" s="76"/>
      <c r="C527" s="75"/>
      <c r="D527" s="575"/>
      <c r="E527" s="75"/>
      <c r="F527" s="613"/>
      <c r="G527" s="739"/>
      <c r="H527" s="75"/>
      <c r="I527" s="75"/>
      <c r="J527" s="75"/>
      <c r="K527" s="75"/>
      <c r="L527" s="75"/>
      <c r="M527" s="75"/>
      <c r="N527" s="75"/>
      <c r="O527" s="75"/>
      <c r="P527" s="75"/>
      <c r="Q527" s="75"/>
      <c r="R527" s="75"/>
      <c r="S527" s="75"/>
      <c r="T527" s="75"/>
      <c r="U527" s="75"/>
      <c r="V527" s="75"/>
      <c r="W527" s="75"/>
      <c r="X527" s="75"/>
      <c r="Y527" s="75"/>
      <c r="Z527" s="75"/>
      <c r="AA527" s="75"/>
    </row>
    <row r="528" spans="1:27" s="126" customFormat="1">
      <c r="A528" s="76"/>
      <c r="B528" s="76"/>
      <c r="C528" s="75"/>
      <c r="D528" s="575"/>
      <c r="E528" s="75"/>
      <c r="F528" s="613"/>
      <c r="G528" s="739"/>
      <c r="H528" s="75"/>
      <c r="I528" s="75"/>
      <c r="J528" s="75"/>
      <c r="K528" s="75"/>
      <c r="L528" s="75"/>
      <c r="M528" s="75"/>
      <c r="N528" s="75"/>
      <c r="O528" s="75"/>
      <c r="P528" s="75"/>
      <c r="Q528" s="75"/>
      <c r="R528" s="75"/>
      <c r="S528" s="75"/>
      <c r="T528" s="75"/>
      <c r="U528" s="75"/>
      <c r="V528" s="75"/>
      <c r="W528" s="75"/>
      <c r="X528" s="75"/>
      <c r="Y528" s="75"/>
      <c r="Z528" s="75"/>
      <c r="AA528" s="75"/>
    </row>
    <row r="529" spans="1:27" s="126" customFormat="1">
      <c r="A529" s="76"/>
      <c r="B529" s="76"/>
      <c r="C529" s="75"/>
      <c r="D529" s="575"/>
      <c r="E529" s="75"/>
      <c r="F529" s="613"/>
      <c r="G529" s="739"/>
      <c r="H529" s="75"/>
      <c r="I529" s="75"/>
      <c r="J529" s="75"/>
      <c r="K529" s="75"/>
      <c r="L529" s="75"/>
      <c r="M529" s="75"/>
      <c r="N529" s="75"/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  <c r="AA529" s="75"/>
    </row>
    <row r="530" spans="1:27" s="126" customFormat="1">
      <c r="A530" s="76"/>
      <c r="B530" s="76"/>
      <c r="C530" s="75"/>
      <c r="D530" s="575"/>
      <c r="E530" s="75"/>
      <c r="F530" s="613"/>
      <c r="G530" s="739"/>
      <c r="H530" s="75"/>
      <c r="I530" s="75"/>
      <c r="J530" s="75"/>
      <c r="K530" s="75"/>
      <c r="L530" s="75"/>
      <c r="M530" s="75"/>
      <c r="N530" s="75"/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  <c r="AA530" s="75"/>
    </row>
    <row r="531" spans="1:27" s="126" customFormat="1">
      <c r="A531" s="76"/>
      <c r="B531" s="76"/>
      <c r="C531" s="75"/>
      <c r="D531" s="575"/>
      <c r="E531" s="75"/>
      <c r="F531" s="613"/>
      <c r="G531" s="739"/>
      <c r="H531" s="75"/>
      <c r="I531" s="75"/>
      <c r="J531" s="75"/>
      <c r="K531" s="75"/>
      <c r="L531" s="75"/>
      <c r="M531" s="75"/>
      <c r="N531" s="75"/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  <c r="AA531" s="75"/>
    </row>
    <row r="532" spans="1:27" s="126" customFormat="1">
      <c r="A532" s="76"/>
      <c r="B532" s="76"/>
      <c r="C532" s="75"/>
      <c r="D532" s="575"/>
      <c r="E532" s="75"/>
      <c r="F532" s="613"/>
      <c r="G532" s="739"/>
      <c r="H532" s="75"/>
      <c r="I532" s="75"/>
      <c r="J532" s="75"/>
      <c r="K532" s="75"/>
      <c r="L532" s="75"/>
      <c r="M532" s="75"/>
      <c r="N532" s="75"/>
      <c r="O532" s="75"/>
      <c r="P532" s="75"/>
      <c r="Q532" s="75"/>
      <c r="R532" s="75"/>
      <c r="S532" s="75"/>
      <c r="T532" s="75"/>
      <c r="U532" s="75"/>
      <c r="V532" s="75"/>
      <c r="W532" s="75"/>
      <c r="X532" s="75"/>
      <c r="Y532" s="75"/>
      <c r="Z532" s="75"/>
      <c r="AA532" s="75"/>
    </row>
    <row r="533" spans="1:27" s="126" customFormat="1">
      <c r="A533" s="76"/>
      <c r="B533" s="76"/>
      <c r="C533" s="75"/>
      <c r="D533" s="575"/>
      <c r="E533" s="75"/>
      <c r="F533" s="613"/>
      <c r="G533" s="739"/>
      <c r="H533" s="75"/>
      <c r="I533" s="75"/>
      <c r="J533" s="75"/>
      <c r="K533" s="75"/>
      <c r="L533" s="75"/>
      <c r="M533" s="75"/>
      <c r="N533" s="75"/>
      <c r="O533" s="75"/>
      <c r="P533" s="75"/>
      <c r="Q533" s="75"/>
      <c r="R533" s="75"/>
      <c r="S533" s="75"/>
      <c r="T533" s="75"/>
      <c r="U533" s="75"/>
      <c r="V533" s="75"/>
      <c r="W533" s="75"/>
      <c r="X533" s="75"/>
      <c r="Y533" s="75"/>
      <c r="Z533" s="75"/>
      <c r="AA533" s="75"/>
    </row>
    <row r="534" spans="1:27" s="126" customFormat="1">
      <c r="A534" s="76"/>
      <c r="B534" s="76"/>
      <c r="C534" s="75"/>
      <c r="D534" s="575"/>
      <c r="E534" s="75"/>
      <c r="F534" s="613"/>
      <c r="G534" s="739"/>
      <c r="H534" s="75"/>
      <c r="I534" s="75"/>
      <c r="J534" s="75"/>
      <c r="K534" s="75"/>
      <c r="L534" s="75"/>
      <c r="M534" s="75"/>
      <c r="N534" s="75"/>
      <c r="O534" s="75"/>
      <c r="P534" s="75"/>
      <c r="Q534" s="75"/>
      <c r="R534" s="75"/>
      <c r="S534" s="75"/>
      <c r="T534" s="75"/>
      <c r="U534" s="75"/>
      <c r="V534" s="75"/>
      <c r="W534" s="75"/>
      <c r="X534" s="75"/>
      <c r="Y534" s="75"/>
      <c r="Z534" s="75"/>
      <c r="AA534" s="75"/>
    </row>
    <row r="535" spans="1:27" s="126" customFormat="1">
      <c r="A535" s="76"/>
      <c r="B535" s="76"/>
      <c r="C535" s="75"/>
      <c r="D535" s="575"/>
      <c r="E535" s="75"/>
      <c r="F535" s="613"/>
      <c r="G535" s="739"/>
      <c r="H535" s="75"/>
      <c r="I535" s="75"/>
      <c r="J535" s="75"/>
      <c r="K535" s="75"/>
      <c r="L535" s="75"/>
      <c r="M535" s="75"/>
      <c r="N535" s="75"/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  <c r="AA535" s="75"/>
    </row>
    <row r="536" spans="1:27" s="126" customFormat="1">
      <c r="A536" s="76"/>
      <c r="B536" s="76"/>
      <c r="C536" s="75"/>
      <c r="D536" s="575"/>
      <c r="E536" s="75"/>
      <c r="F536" s="613"/>
      <c r="G536" s="739"/>
      <c r="H536" s="75"/>
      <c r="I536" s="75"/>
      <c r="J536" s="75"/>
      <c r="K536" s="75"/>
      <c r="L536" s="75"/>
      <c r="M536" s="75"/>
      <c r="N536" s="75"/>
      <c r="O536" s="75"/>
      <c r="P536" s="75"/>
      <c r="Q536" s="75"/>
      <c r="R536" s="75"/>
      <c r="S536" s="75"/>
      <c r="T536" s="75"/>
      <c r="U536" s="75"/>
      <c r="V536" s="75"/>
      <c r="W536" s="75"/>
      <c r="X536" s="75"/>
      <c r="Y536" s="75"/>
      <c r="Z536" s="75"/>
      <c r="AA536" s="75"/>
    </row>
    <row r="537" spans="1:27" s="126" customFormat="1">
      <c r="A537" s="76"/>
      <c r="B537" s="76"/>
      <c r="C537" s="75"/>
      <c r="D537" s="575"/>
      <c r="E537" s="75"/>
      <c r="F537" s="613"/>
      <c r="G537" s="739"/>
      <c r="H537" s="75"/>
      <c r="I537" s="75"/>
      <c r="J537" s="75"/>
      <c r="K537" s="75"/>
      <c r="L537" s="75"/>
      <c r="M537" s="75"/>
      <c r="N537" s="75"/>
      <c r="O537" s="75"/>
      <c r="P537" s="75"/>
      <c r="Q537" s="75"/>
      <c r="R537" s="75"/>
      <c r="S537" s="75"/>
      <c r="T537" s="75"/>
      <c r="U537" s="75"/>
      <c r="V537" s="75"/>
      <c r="W537" s="75"/>
      <c r="X537" s="75"/>
      <c r="Y537" s="75"/>
      <c r="Z537" s="75"/>
      <c r="AA537" s="75"/>
    </row>
    <row r="538" spans="1:27" s="126" customFormat="1">
      <c r="A538" s="76"/>
      <c r="B538" s="76"/>
      <c r="C538" s="75"/>
      <c r="D538" s="575"/>
      <c r="E538" s="75"/>
      <c r="F538" s="613"/>
      <c r="G538" s="739"/>
      <c r="H538" s="75"/>
      <c r="I538" s="75"/>
      <c r="J538" s="75"/>
      <c r="K538" s="75"/>
      <c r="L538" s="75"/>
      <c r="M538" s="75"/>
      <c r="N538" s="75"/>
      <c r="O538" s="75"/>
      <c r="P538" s="75"/>
      <c r="Q538" s="75"/>
      <c r="R538" s="75"/>
      <c r="S538" s="75"/>
      <c r="T538" s="75"/>
      <c r="U538" s="75"/>
      <c r="V538" s="75"/>
      <c r="W538" s="75"/>
      <c r="X538" s="75"/>
      <c r="Y538" s="75"/>
      <c r="Z538" s="75"/>
      <c r="AA538" s="75"/>
    </row>
    <row r="539" spans="1:27" s="126" customFormat="1">
      <c r="A539" s="76"/>
      <c r="B539" s="76"/>
      <c r="C539" s="75"/>
      <c r="D539" s="575"/>
      <c r="E539" s="75"/>
      <c r="F539" s="613"/>
      <c r="G539" s="739"/>
      <c r="H539" s="75"/>
      <c r="I539" s="75"/>
      <c r="J539" s="75"/>
      <c r="K539" s="75"/>
      <c r="L539" s="75"/>
      <c r="M539" s="75"/>
      <c r="N539" s="75"/>
      <c r="O539" s="75"/>
      <c r="P539" s="75"/>
      <c r="Q539" s="75"/>
      <c r="R539" s="75"/>
      <c r="S539" s="75"/>
      <c r="T539" s="75"/>
      <c r="U539" s="75"/>
      <c r="V539" s="75"/>
      <c r="W539" s="75"/>
      <c r="X539" s="75"/>
      <c r="Y539" s="75"/>
      <c r="Z539" s="75"/>
      <c r="AA539" s="75"/>
    </row>
    <row r="540" spans="1:27" s="126" customFormat="1">
      <c r="A540" s="76"/>
      <c r="B540" s="76"/>
      <c r="C540" s="75"/>
      <c r="D540" s="575"/>
      <c r="E540" s="75"/>
      <c r="F540" s="613"/>
      <c r="G540" s="739"/>
      <c r="H540" s="75"/>
      <c r="I540" s="75"/>
      <c r="J540" s="75"/>
      <c r="K540" s="75"/>
      <c r="L540" s="75"/>
      <c r="M540" s="75"/>
      <c r="N540" s="75"/>
      <c r="O540" s="75"/>
      <c r="P540" s="75"/>
      <c r="Q540" s="75"/>
      <c r="R540" s="75"/>
      <c r="S540" s="75"/>
      <c r="T540" s="75"/>
      <c r="U540" s="75"/>
      <c r="V540" s="75"/>
      <c r="W540" s="75"/>
      <c r="X540" s="75"/>
      <c r="Y540" s="75"/>
      <c r="Z540" s="75"/>
      <c r="AA540" s="75"/>
    </row>
    <row r="541" spans="1:27" s="126" customFormat="1">
      <c r="A541" s="76"/>
      <c r="B541" s="76"/>
      <c r="C541" s="75"/>
      <c r="D541" s="575"/>
      <c r="E541" s="75"/>
      <c r="F541" s="613"/>
      <c r="G541" s="739"/>
      <c r="H541" s="75"/>
      <c r="I541" s="75"/>
      <c r="J541" s="75"/>
      <c r="K541" s="75"/>
      <c r="L541" s="75"/>
      <c r="M541" s="75"/>
      <c r="N541" s="75"/>
      <c r="O541" s="75"/>
      <c r="P541" s="75"/>
      <c r="Q541" s="75"/>
      <c r="R541" s="75"/>
      <c r="S541" s="75"/>
      <c r="T541" s="75"/>
      <c r="U541" s="75"/>
      <c r="V541" s="75"/>
      <c r="W541" s="75"/>
      <c r="X541" s="75"/>
      <c r="Y541" s="75"/>
      <c r="Z541" s="75"/>
      <c r="AA541" s="75"/>
    </row>
    <row r="542" spans="1:27" s="126" customFormat="1">
      <c r="A542" s="76"/>
      <c r="B542" s="76"/>
      <c r="C542" s="75"/>
      <c r="D542" s="575"/>
      <c r="E542" s="75"/>
      <c r="F542" s="613"/>
      <c r="G542" s="739"/>
      <c r="H542" s="75"/>
      <c r="I542" s="75"/>
      <c r="J542" s="75"/>
      <c r="K542" s="75"/>
      <c r="L542" s="75"/>
      <c r="M542" s="75"/>
      <c r="N542" s="75"/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  <c r="Z542" s="75"/>
      <c r="AA542" s="75"/>
    </row>
    <row r="543" spans="1:27" s="126" customFormat="1">
      <c r="A543" s="76"/>
      <c r="B543" s="76"/>
      <c r="C543" s="75"/>
      <c r="D543" s="575"/>
      <c r="E543" s="75"/>
      <c r="F543" s="613"/>
      <c r="G543" s="739"/>
      <c r="H543" s="75"/>
      <c r="I543" s="75"/>
      <c r="J543" s="75"/>
      <c r="K543" s="75"/>
      <c r="L543" s="75"/>
      <c r="M543" s="75"/>
      <c r="N543" s="75"/>
      <c r="O543" s="75"/>
      <c r="P543" s="75"/>
      <c r="Q543" s="75"/>
      <c r="R543" s="75"/>
      <c r="S543" s="75"/>
      <c r="T543" s="75"/>
      <c r="U543" s="75"/>
      <c r="V543" s="75"/>
      <c r="W543" s="75"/>
      <c r="X543" s="75"/>
      <c r="Y543" s="75"/>
      <c r="Z543" s="75"/>
      <c r="AA543" s="75"/>
    </row>
    <row r="544" spans="1:27" s="126" customFormat="1">
      <c r="A544" s="76"/>
      <c r="B544" s="76"/>
      <c r="C544" s="75"/>
      <c r="D544" s="575"/>
      <c r="E544" s="75"/>
      <c r="F544" s="613"/>
      <c r="G544" s="739"/>
      <c r="H544" s="75"/>
      <c r="I544" s="75"/>
      <c r="J544" s="75"/>
      <c r="K544" s="75"/>
      <c r="L544" s="75"/>
      <c r="M544" s="75"/>
      <c r="N544" s="75"/>
      <c r="O544" s="75"/>
      <c r="P544" s="75"/>
      <c r="Q544" s="75"/>
      <c r="R544" s="75"/>
      <c r="S544" s="75"/>
      <c r="T544" s="75"/>
      <c r="U544" s="75"/>
      <c r="V544" s="75"/>
      <c r="W544" s="75"/>
      <c r="X544" s="75"/>
      <c r="Y544" s="75"/>
      <c r="Z544" s="75"/>
      <c r="AA544" s="75"/>
    </row>
    <row r="545" spans="1:27" s="126" customFormat="1">
      <c r="A545" s="76"/>
      <c r="B545" s="76"/>
      <c r="C545" s="75"/>
      <c r="D545" s="575"/>
      <c r="E545" s="75"/>
      <c r="F545" s="613"/>
      <c r="G545" s="739"/>
      <c r="H545" s="75"/>
      <c r="I545" s="75"/>
      <c r="J545" s="75"/>
      <c r="K545" s="75"/>
      <c r="L545" s="75"/>
      <c r="M545" s="75"/>
      <c r="N545" s="75"/>
      <c r="O545" s="75"/>
      <c r="P545" s="75"/>
      <c r="Q545" s="75"/>
      <c r="R545" s="75"/>
      <c r="S545" s="75"/>
      <c r="T545" s="75"/>
      <c r="U545" s="75"/>
      <c r="V545" s="75"/>
      <c r="W545" s="75"/>
      <c r="X545" s="75"/>
      <c r="Y545" s="75"/>
      <c r="Z545" s="75"/>
      <c r="AA545" s="75"/>
    </row>
    <row r="546" spans="1:27" s="126" customFormat="1">
      <c r="A546" s="76"/>
      <c r="B546" s="76"/>
      <c r="C546" s="75"/>
      <c r="D546" s="575"/>
      <c r="E546" s="75"/>
      <c r="F546" s="613"/>
      <c r="G546" s="739"/>
      <c r="H546" s="75"/>
      <c r="I546" s="75"/>
      <c r="J546" s="75"/>
      <c r="K546" s="75"/>
      <c r="L546" s="75"/>
      <c r="M546" s="75"/>
      <c r="N546" s="75"/>
      <c r="O546" s="75"/>
      <c r="P546" s="75"/>
      <c r="Q546" s="75"/>
      <c r="R546" s="75"/>
      <c r="S546" s="75"/>
      <c r="T546" s="75"/>
      <c r="U546" s="75"/>
      <c r="V546" s="75"/>
      <c r="W546" s="75"/>
      <c r="X546" s="75"/>
      <c r="Y546" s="75"/>
      <c r="Z546" s="75"/>
      <c r="AA546" s="75"/>
    </row>
    <row r="547" spans="1:27" s="126" customFormat="1">
      <c r="A547" s="76"/>
      <c r="B547" s="76"/>
      <c r="C547" s="75"/>
      <c r="D547" s="575"/>
      <c r="E547" s="75"/>
      <c r="F547" s="613"/>
      <c r="G547" s="739"/>
      <c r="H547" s="75"/>
      <c r="I547" s="75"/>
      <c r="J547" s="75"/>
      <c r="K547" s="75"/>
      <c r="L547" s="75"/>
      <c r="M547" s="75"/>
      <c r="N547" s="75"/>
      <c r="O547" s="75"/>
      <c r="P547" s="75"/>
      <c r="Q547" s="75"/>
      <c r="R547" s="75"/>
      <c r="S547" s="75"/>
      <c r="T547" s="75"/>
      <c r="U547" s="75"/>
      <c r="V547" s="75"/>
      <c r="W547" s="75"/>
      <c r="X547" s="75"/>
      <c r="Y547" s="75"/>
      <c r="Z547" s="75"/>
      <c r="AA547" s="75"/>
    </row>
    <row r="548" spans="1:27" s="126" customFormat="1">
      <c r="A548" s="76"/>
      <c r="B548" s="76"/>
      <c r="C548" s="75"/>
      <c r="D548" s="575"/>
      <c r="E548" s="75"/>
      <c r="F548" s="613"/>
      <c r="G548" s="739"/>
      <c r="H548" s="75"/>
      <c r="I548" s="75"/>
      <c r="J548" s="75"/>
      <c r="K548" s="75"/>
      <c r="L548" s="75"/>
      <c r="M548" s="75"/>
      <c r="N548" s="75"/>
      <c r="O548" s="75"/>
      <c r="P548" s="75"/>
      <c r="Q548" s="75"/>
      <c r="R548" s="75"/>
      <c r="S548" s="75"/>
      <c r="T548" s="75"/>
      <c r="U548" s="75"/>
      <c r="V548" s="75"/>
      <c r="W548" s="75"/>
      <c r="X548" s="75"/>
      <c r="Y548" s="75"/>
      <c r="Z548" s="75"/>
      <c r="AA548" s="75"/>
    </row>
    <row r="549" spans="1:27" s="126" customFormat="1">
      <c r="A549" s="76"/>
      <c r="B549" s="76"/>
      <c r="C549" s="75"/>
      <c r="D549" s="575"/>
      <c r="E549" s="75"/>
      <c r="F549" s="613"/>
      <c r="G549" s="739"/>
      <c r="H549" s="75"/>
      <c r="I549" s="75"/>
      <c r="J549" s="75"/>
      <c r="K549" s="75"/>
      <c r="L549" s="75"/>
      <c r="M549" s="75"/>
      <c r="N549" s="75"/>
      <c r="O549" s="75"/>
      <c r="P549" s="75"/>
      <c r="Q549" s="75"/>
      <c r="R549" s="75"/>
      <c r="S549" s="75"/>
      <c r="T549" s="75"/>
      <c r="U549" s="75"/>
      <c r="V549" s="75"/>
      <c r="W549" s="75"/>
      <c r="X549" s="75"/>
      <c r="Y549" s="75"/>
      <c r="Z549" s="75"/>
      <c r="AA549" s="75"/>
    </row>
    <row r="550" spans="1:27" s="126" customFormat="1">
      <c r="A550" s="76"/>
      <c r="B550" s="76"/>
      <c r="C550" s="75"/>
      <c r="D550" s="575"/>
      <c r="E550" s="75"/>
      <c r="F550" s="613"/>
      <c r="G550" s="739"/>
      <c r="H550" s="75"/>
      <c r="I550" s="75"/>
      <c r="J550" s="75"/>
      <c r="K550" s="75"/>
      <c r="L550" s="75"/>
      <c r="M550" s="75"/>
      <c r="N550" s="75"/>
      <c r="O550" s="75"/>
      <c r="P550" s="75"/>
      <c r="Q550" s="75"/>
      <c r="R550" s="75"/>
      <c r="S550" s="75"/>
      <c r="T550" s="75"/>
      <c r="U550" s="75"/>
      <c r="V550" s="75"/>
      <c r="W550" s="75"/>
      <c r="X550" s="75"/>
      <c r="Y550" s="75"/>
      <c r="Z550" s="75"/>
      <c r="AA550" s="75"/>
    </row>
    <row r="551" spans="1:27" s="126" customFormat="1">
      <c r="A551" s="76"/>
      <c r="B551" s="76"/>
      <c r="C551" s="75"/>
      <c r="D551" s="575"/>
      <c r="E551" s="75"/>
      <c r="F551" s="613"/>
      <c r="G551" s="739"/>
      <c r="H551" s="75"/>
      <c r="I551" s="75"/>
      <c r="J551" s="75"/>
      <c r="K551" s="75"/>
      <c r="L551" s="75"/>
      <c r="M551" s="75"/>
      <c r="N551" s="75"/>
      <c r="O551" s="75"/>
      <c r="P551" s="75"/>
      <c r="Q551" s="75"/>
      <c r="R551" s="75"/>
      <c r="S551" s="75"/>
      <c r="T551" s="75"/>
      <c r="U551" s="75"/>
      <c r="V551" s="75"/>
      <c r="W551" s="75"/>
      <c r="X551" s="75"/>
      <c r="Y551" s="75"/>
      <c r="Z551" s="75"/>
      <c r="AA551" s="75"/>
    </row>
    <row r="552" spans="1:27" s="126" customFormat="1">
      <c r="A552" s="76"/>
      <c r="B552" s="76"/>
      <c r="C552" s="75"/>
      <c r="D552" s="575"/>
      <c r="E552" s="75"/>
      <c r="F552" s="613"/>
      <c r="G552" s="739"/>
      <c r="H552" s="75"/>
      <c r="I552" s="75"/>
      <c r="J552" s="75"/>
      <c r="K552" s="75"/>
      <c r="L552" s="75"/>
      <c r="M552" s="75"/>
      <c r="N552" s="75"/>
      <c r="O552" s="75"/>
      <c r="P552" s="75"/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</row>
    <row r="553" spans="1:27" s="126" customFormat="1">
      <c r="A553" s="76"/>
      <c r="B553" s="76"/>
      <c r="C553" s="75"/>
      <c r="D553" s="575"/>
      <c r="E553" s="75"/>
      <c r="F553" s="613"/>
      <c r="G553" s="739"/>
      <c r="H553" s="75"/>
      <c r="I553" s="75"/>
      <c r="J553" s="75"/>
      <c r="K553" s="75"/>
      <c r="L553" s="75"/>
      <c r="M553" s="75"/>
      <c r="N553" s="75"/>
      <c r="O553" s="75"/>
      <c r="P553" s="75"/>
      <c r="Q553" s="75"/>
      <c r="R553" s="75"/>
      <c r="S553" s="75"/>
      <c r="T553" s="75"/>
      <c r="U553" s="75"/>
      <c r="V553" s="75"/>
      <c r="W553" s="75"/>
      <c r="X553" s="75"/>
      <c r="Y553" s="75"/>
      <c r="Z553" s="75"/>
      <c r="AA553" s="75"/>
    </row>
    <row r="554" spans="1:27" s="126" customFormat="1">
      <c r="A554" s="76"/>
      <c r="B554" s="76"/>
      <c r="C554" s="75"/>
      <c r="D554" s="575"/>
      <c r="E554" s="75"/>
      <c r="F554" s="613"/>
      <c r="G554" s="739"/>
      <c r="H554" s="75"/>
      <c r="I554" s="75"/>
      <c r="J554" s="75"/>
      <c r="K554" s="75"/>
      <c r="L554" s="75"/>
      <c r="M554" s="75"/>
      <c r="N554" s="75"/>
      <c r="O554" s="75"/>
      <c r="P554" s="75"/>
      <c r="Q554" s="75"/>
      <c r="R554" s="75"/>
      <c r="S554" s="75"/>
      <c r="T554" s="75"/>
      <c r="U554" s="75"/>
      <c r="V554" s="75"/>
      <c r="W554" s="75"/>
      <c r="X554" s="75"/>
      <c r="Y554" s="75"/>
      <c r="Z554" s="75"/>
      <c r="AA554" s="75"/>
    </row>
    <row r="555" spans="1:27" s="126" customFormat="1">
      <c r="A555" s="76"/>
      <c r="B555" s="76"/>
      <c r="C555" s="75"/>
      <c r="D555" s="575"/>
      <c r="E555" s="75"/>
      <c r="F555" s="613"/>
      <c r="G555" s="739"/>
      <c r="H555" s="75"/>
      <c r="I555" s="75"/>
      <c r="J555" s="75"/>
      <c r="K555" s="75"/>
      <c r="L555" s="75"/>
      <c r="M555" s="75"/>
      <c r="N555" s="75"/>
      <c r="O555" s="75"/>
      <c r="P555" s="75"/>
      <c r="Q555" s="75"/>
      <c r="R555" s="75"/>
      <c r="S555" s="75"/>
      <c r="T555" s="75"/>
      <c r="U555" s="75"/>
      <c r="V555" s="75"/>
      <c r="W555" s="75"/>
      <c r="X555" s="75"/>
      <c r="Y555" s="75"/>
      <c r="Z555" s="75"/>
      <c r="AA555" s="75"/>
    </row>
    <row r="556" spans="1:27" s="126" customFormat="1">
      <c r="A556" s="76"/>
      <c r="B556" s="76"/>
      <c r="C556" s="75"/>
      <c r="D556" s="575"/>
      <c r="E556" s="75"/>
      <c r="F556" s="613"/>
      <c r="G556" s="739"/>
      <c r="H556" s="75"/>
      <c r="I556" s="75"/>
      <c r="J556" s="75"/>
      <c r="K556" s="75"/>
      <c r="L556" s="75"/>
      <c r="M556" s="75"/>
      <c r="N556" s="75"/>
      <c r="O556" s="75"/>
      <c r="P556" s="75"/>
      <c r="Q556" s="75"/>
      <c r="R556" s="75"/>
      <c r="S556" s="75"/>
      <c r="T556" s="75"/>
      <c r="U556" s="75"/>
      <c r="V556" s="75"/>
      <c r="W556" s="75"/>
      <c r="X556" s="75"/>
      <c r="Y556" s="75"/>
      <c r="Z556" s="75"/>
      <c r="AA556" s="75"/>
    </row>
    <row r="557" spans="1:27" s="126" customFormat="1">
      <c r="A557" s="76"/>
      <c r="B557" s="76"/>
      <c r="C557" s="75"/>
      <c r="D557" s="575"/>
      <c r="E557" s="75"/>
      <c r="F557" s="613"/>
      <c r="G557" s="739"/>
      <c r="H557" s="75"/>
      <c r="I557" s="75"/>
      <c r="J557" s="75"/>
      <c r="K557" s="75"/>
      <c r="L557" s="75"/>
      <c r="M557" s="75"/>
      <c r="N557" s="75"/>
      <c r="O557" s="75"/>
      <c r="P557" s="75"/>
      <c r="Q557" s="75"/>
      <c r="R557" s="75"/>
      <c r="S557" s="75"/>
      <c r="T557" s="75"/>
      <c r="U557" s="75"/>
      <c r="V557" s="75"/>
      <c r="W557" s="75"/>
      <c r="X557" s="75"/>
      <c r="Y557" s="75"/>
      <c r="Z557" s="75"/>
      <c r="AA557" s="75"/>
    </row>
    <row r="558" spans="1:27" s="126" customFormat="1">
      <c r="A558" s="76"/>
      <c r="B558" s="76"/>
      <c r="C558" s="75"/>
      <c r="D558" s="575"/>
      <c r="E558" s="75"/>
      <c r="F558" s="613"/>
      <c r="G558" s="739"/>
      <c r="H558" s="75"/>
      <c r="I558" s="75"/>
      <c r="J558" s="75"/>
      <c r="K558" s="75"/>
      <c r="L558" s="75"/>
      <c r="M558" s="75"/>
      <c r="N558" s="75"/>
      <c r="O558" s="75"/>
      <c r="P558" s="75"/>
      <c r="Q558" s="75"/>
      <c r="R558" s="75"/>
      <c r="S558" s="75"/>
      <c r="T558" s="75"/>
      <c r="U558" s="75"/>
      <c r="V558" s="75"/>
      <c r="W558" s="75"/>
      <c r="X558" s="75"/>
      <c r="Y558" s="75"/>
      <c r="Z558" s="75"/>
      <c r="AA558" s="75"/>
    </row>
    <row r="559" spans="1:27" s="126" customFormat="1">
      <c r="A559" s="76"/>
      <c r="B559" s="76"/>
      <c r="C559" s="75"/>
      <c r="D559" s="575"/>
      <c r="E559" s="75"/>
      <c r="F559" s="613"/>
      <c r="G559" s="739"/>
      <c r="H559" s="75"/>
      <c r="I559" s="75"/>
      <c r="J559" s="75"/>
      <c r="K559" s="75"/>
      <c r="L559" s="75"/>
      <c r="M559" s="75"/>
      <c r="N559" s="75"/>
      <c r="O559" s="75"/>
      <c r="P559" s="75"/>
      <c r="Q559" s="75"/>
      <c r="R559" s="75"/>
      <c r="S559" s="75"/>
      <c r="T559" s="75"/>
      <c r="U559" s="75"/>
      <c r="V559" s="75"/>
      <c r="W559" s="75"/>
      <c r="X559" s="75"/>
      <c r="Y559" s="75"/>
      <c r="Z559" s="75"/>
      <c r="AA559" s="75"/>
    </row>
    <row r="560" spans="1:27" s="126" customFormat="1">
      <c r="A560" s="76"/>
      <c r="B560" s="76"/>
      <c r="C560" s="75"/>
      <c r="D560" s="575"/>
      <c r="E560" s="75"/>
      <c r="F560" s="613"/>
      <c r="G560" s="739"/>
      <c r="H560" s="75"/>
      <c r="I560" s="75"/>
      <c r="J560" s="75"/>
      <c r="K560" s="75"/>
      <c r="L560" s="75"/>
      <c r="M560" s="75"/>
      <c r="N560" s="75"/>
      <c r="O560" s="75"/>
      <c r="P560" s="75"/>
      <c r="Q560" s="75"/>
      <c r="R560" s="75"/>
      <c r="S560" s="75"/>
      <c r="T560" s="75"/>
      <c r="U560" s="75"/>
      <c r="V560" s="75"/>
      <c r="W560" s="75"/>
      <c r="X560" s="75"/>
      <c r="Y560" s="75"/>
      <c r="Z560" s="75"/>
      <c r="AA560" s="75"/>
    </row>
    <row r="561" spans="1:27" s="126" customFormat="1">
      <c r="A561" s="76"/>
      <c r="B561" s="76"/>
      <c r="C561" s="75"/>
      <c r="D561" s="575"/>
      <c r="E561" s="75"/>
      <c r="F561" s="613"/>
      <c r="G561" s="739"/>
      <c r="H561" s="75"/>
      <c r="I561" s="75"/>
      <c r="J561" s="75"/>
      <c r="K561" s="75"/>
      <c r="L561" s="75"/>
      <c r="M561" s="75"/>
      <c r="N561" s="75"/>
      <c r="O561" s="75"/>
      <c r="P561" s="75"/>
      <c r="Q561" s="75"/>
      <c r="R561" s="75"/>
      <c r="S561" s="75"/>
      <c r="T561" s="75"/>
      <c r="U561" s="75"/>
      <c r="V561" s="75"/>
      <c r="W561" s="75"/>
      <c r="X561" s="75"/>
      <c r="Y561" s="75"/>
      <c r="Z561" s="75"/>
      <c r="AA561" s="75"/>
    </row>
    <row r="562" spans="1:27" s="126" customFormat="1">
      <c r="A562" s="76"/>
      <c r="B562" s="76"/>
      <c r="C562" s="75"/>
      <c r="D562" s="575"/>
      <c r="E562" s="75"/>
      <c r="F562" s="613"/>
      <c r="G562" s="739"/>
      <c r="H562" s="75"/>
      <c r="I562" s="75"/>
      <c r="J562" s="75"/>
      <c r="K562" s="75"/>
      <c r="L562" s="75"/>
      <c r="M562" s="75"/>
      <c r="N562" s="75"/>
      <c r="O562" s="75"/>
      <c r="P562" s="75"/>
      <c r="Q562" s="75"/>
      <c r="R562" s="75"/>
      <c r="S562" s="75"/>
      <c r="T562" s="75"/>
      <c r="U562" s="75"/>
      <c r="V562" s="75"/>
      <c r="W562" s="75"/>
      <c r="X562" s="75"/>
      <c r="Y562" s="75"/>
      <c r="Z562" s="75"/>
      <c r="AA562" s="75"/>
    </row>
    <row r="563" spans="1:27" s="126" customFormat="1">
      <c r="A563" s="76"/>
      <c r="B563" s="76"/>
      <c r="C563" s="75"/>
      <c r="D563" s="575"/>
      <c r="E563" s="75"/>
      <c r="F563" s="613"/>
      <c r="G563" s="739"/>
      <c r="H563" s="75"/>
      <c r="I563" s="75"/>
      <c r="J563" s="75"/>
      <c r="K563" s="75"/>
      <c r="L563" s="75"/>
      <c r="M563" s="75"/>
      <c r="N563" s="75"/>
      <c r="O563" s="75"/>
      <c r="P563" s="75"/>
      <c r="Q563" s="75"/>
      <c r="R563" s="75"/>
      <c r="S563" s="75"/>
      <c r="T563" s="75"/>
      <c r="U563" s="75"/>
      <c r="V563" s="75"/>
      <c r="W563" s="75"/>
      <c r="X563" s="75"/>
      <c r="Y563" s="75"/>
      <c r="Z563" s="75"/>
      <c r="AA563" s="75"/>
    </row>
    <row r="564" spans="1:27" s="126" customFormat="1">
      <c r="A564" s="76"/>
      <c r="B564" s="76"/>
      <c r="C564" s="75"/>
      <c r="D564" s="575"/>
      <c r="E564" s="75"/>
      <c r="F564" s="613"/>
      <c r="G564" s="739"/>
      <c r="H564" s="75"/>
      <c r="I564" s="75"/>
      <c r="J564" s="75"/>
      <c r="K564" s="75"/>
      <c r="L564" s="75"/>
      <c r="M564" s="75"/>
      <c r="N564" s="75"/>
      <c r="O564" s="75"/>
      <c r="P564" s="75"/>
      <c r="Q564" s="75"/>
      <c r="R564" s="75"/>
      <c r="S564" s="75"/>
      <c r="T564" s="75"/>
      <c r="U564" s="75"/>
      <c r="V564" s="75"/>
      <c r="W564" s="75"/>
      <c r="X564" s="75"/>
      <c r="Y564" s="75"/>
      <c r="Z564" s="75"/>
      <c r="AA564" s="75"/>
    </row>
    <row r="565" spans="1:27" s="126" customFormat="1">
      <c r="A565" s="76"/>
      <c r="B565" s="76"/>
      <c r="C565" s="75"/>
      <c r="D565" s="575"/>
      <c r="E565" s="75"/>
      <c r="F565" s="613"/>
      <c r="G565" s="739"/>
      <c r="H565" s="75"/>
      <c r="I565" s="75"/>
      <c r="J565" s="75"/>
      <c r="K565" s="75"/>
      <c r="L565" s="75"/>
      <c r="M565" s="75"/>
      <c r="N565" s="75"/>
      <c r="O565" s="75"/>
      <c r="P565" s="75"/>
      <c r="Q565" s="75"/>
      <c r="R565" s="75"/>
      <c r="S565" s="75"/>
      <c r="T565" s="75"/>
      <c r="U565" s="75"/>
      <c r="V565" s="75"/>
      <c r="W565" s="75"/>
      <c r="X565" s="75"/>
      <c r="Y565" s="75"/>
      <c r="Z565" s="75"/>
      <c r="AA565" s="75"/>
    </row>
    <row r="566" spans="1:27" s="126" customFormat="1">
      <c r="A566" s="76"/>
      <c r="B566" s="76"/>
      <c r="C566" s="75"/>
      <c r="D566" s="575"/>
      <c r="E566" s="75"/>
      <c r="F566" s="613"/>
      <c r="G566" s="739"/>
      <c r="H566" s="75"/>
      <c r="I566" s="75"/>
      <c r="J566" s="75"/>
      <c r="K566" s="75"/>
      <c r="L566" s="75"/>
      <c r="M566" s="75"/>
      <c r="N566" s="75"/>
      <c r="O566" s="75"/>
      <c r="P566" s="75"/>
      <c r="Q566" s="75"/>
      <c r="R566" s="75"/>
      <c r="S566" s="75"/>
      <c r="T566" s="75"/>
      <c r="U566" s="75"/>
      <c r="V566" s="75"/>
      <c r="W566" s="75"/>
      <c r="X566" s="75"/>
      <c r="Y566" s="75"/>
      <c r="Z566" s="75"/>
      <c r="AA566" s="75"/>
    </row>
    <row r="567" spans="1:27" s="126" customFormat="1">
      <c r="A567" s="76"/>
      <c r="B567" s="76"/>
      <c r="C567" s="75"/>
      <c r="D567" s="575"/>
      <c r="E567" s="75"/>
      <c r="F567" s="613"/>
      <c r="G567" s="739"/>
      <c r="H567" s="75"/>
      <c r="I567" s="75"/>
      <c r="J567" s="75"/>
      <c r="K567" s="75"/>
      <c r="L567" s="75"/>
      <c r="M567" s="75"/>
      <c r="N567" s="75"/>
      <c r="O567" s="75"/>
      <c r="P567" s="75"/>
      <c r="Q567" s="75"/>
      <c r="R567" s="75"/>
      <c r="S567" s="75"/>
      <c r="T567" s="75"/>
      <c r="U567" s="75"/>
      <c r="V567" s="75"/>
      <c r="W567" s="75"/>
      <c r="X567" s="75"/>
      <c r="Y567" s="75"/>
      <c r="Z567" s="75"/>
      <c r="AA567" s="75"/>
    </row>
    <row r="568" spans="1:27" s="126" customFormat="1">
      <c r="A568" s="76"/>
      <c r="B568" s="76"/>
      <c r="C568" s="75"/>
      <c r="D568" s="575"/>
      <c r="E568" s="75"/>
      <c r="F568" s="613"/>
      <c r="G568" s="739"/>
      <c r="H568" s="75"/>
      <c r="I568" s="75"/>
      <c r="J568" s="75"/>
      <c r="K568" s="75"/>
      <c r="L568" s="75"/>
      <c r="M568" s="75"/>
      <c r="N568" s="75"/>
      <c r="O568" s="75"/>
      <c r="P568" s="75"/>
      <c r="Q568" s="75"/>
      <c r="R568" s="75"/>
      <c r="S568" s="75"/>
      <c r="T568" s="75"/>
      <c r="U568" s="75"/>
      <c r="V568" s="75"/>
      <c r="W568" s="75"/>
      <c r="X568" s="75"/>
      <c r="Y568" s="75"/>
      <c r="Z568" s="75"/>
      <c r="AA568" s="75"/>
    </row>
    <row r="569" spans="1:27" s="126" customFormat="1">
      <c r="A569" s="76"/>
      <c r="B569" s="76"/>
      <c r="C569" s="75"/>
      <c r="D569" s="575"/>
      <c r="E569" s="75"/>
      <c r="F569" s="613"/>
      <c r="G569" s="739"/>
      <c r="H569" s="75"/>
      <c r="I569" s="75"/>
      <c r="J569" s="75"/>
      <c r="K569" s="75"/>
      <c r="L569" s="75"/>
      <c r="M569" s="75"/>
      <c r="N569" s="75"/>
      <c r="O569" s="75"/>
      <c r="P569" s="75"/>
      <c r="Q569" s="75"/>
      <c r="R569" s="75"/>
      <c r="S569" s="75"/>
      <c r="T569" s="75"/>
      <c r="U569" s="75"/>
      <c r="V569" s="75"/>
      <c r="W569" s="75"/>
      <c r="X569" s="75"/>
      <c r="Y569" s="75"/>
      <c r="Z569" s="75"/>
      <c r="AA569" s="75"/>
    </row>
    <row r="570" spans="1:27" s="126" customFormat="1">
      <c r="A570" s="76"/>
      <c r="B570" s="76"/>
      <c r="C570" s="75"/>
      <c r="D570" s="575"/>
      <c r="E570" s="75"/>
      <c r="F570" s="613"/>
      <c r="G570" s="739"/>
      <c r="H570" s="75"/>
      <c r="I570" s="75"/>
      <c r="J570" s="75"/>
      <c r="K570" s="75"/>
      <c r="L570" s="75"/>
      <c r="M570" s="75"/>
      <c r="N570" s="75"/>
      <c r="O570" s="75"/>
      <c r="P570" s="75"/>
      <c r="Q570" s="75"/>
      <c r="R570" s="75"/>
      <c r="S570" s="75"/>
      <c r="T570" s="75"/>
      <c r="U570" s="75"/>
      <c r="V570" s="75"/>
      <c r="W570" s="75"/>
      <c r="X570" s="75"/>
      <c r="Y570" s="75"/>
      <c r="Z570" s="75"/>
      <c r="AA570" s="75"/>
    </row>
    <row r="571" spans="1:27" s="126" customFormat="1">
      <c r="A571" s="76"/>
      <c r="B571" s="76"/>
      <c r="C571" s="75"/>
      <c r="D571" s="575"/>
      <c r="E571" s="75"/>
      <c r="F571" s="613"/>
      <c r="G571" s="739"/>
      <c r="H571" s="75"/>
      <c r="I571" s="75"/>
      <c r="J571" s="75"/>
      <c r="K571" s="75"/>
      <c r="L571" s="75"/>
      <c r="M571" s="75"/>
      <c r="N571" s="75"/>
      <c r="O571" s="75"/>
      <c r="P571" s="75"/>
      <c r="Q571" s="75"/>
      <c r="R571" s="75"/>
      <c r="S571" s="75"/>
      <c r="T571" s="75"/>
      <c r="U571" s="75"/>
      <c r="V571" s="75"/>
      <c r="W571" s="75"/>
      <c r="X571" s="75"/>
      <c r="Y571" s="75"/>
      <c r="Z571" s="75"/>
      <c r="AA571" s="75"/>
    </row>
    <row r="572" spans="1:27" s="126" customFormat="1">
      <c r="A572" s="76"/>
      <c r="B572" s="76"/>
      <c r="C572" s="75"/>
      <c r="D572" s="575"/>
      <c r="E572" s="75"/>
      <c r="F572" s="613"/>
      <c r="G572" s="739"/>
      <c r="H572" s="75"/>
      <c r="I572" s="75"/>
      <c r="J572" s="75"/>
      <c r="K572" s="75"/>
      <c r="L572" s="75"/>
      <c r="M572" s="75"/>
      <c r="N572" s="75"/>
      <c r="O572" s="75"/>
      <c r="P572" s="75"/>
      <c r="Q572" s="75"/>
      <c r="R572" s="75"/>
      <c r="S572" s="75"/>
      <c r="T572" s="75"/>
      <c r="U572" s="75"/>
      <c r="V572" s="75"/>
      <c r="W572" s="75"/>
      <c r="X572" s="75"/>
      <c r="Y572" s="75"/>
      <c r="Z572" s="75"/>
      <c r="AA572" s="75"/>
    </row>
    <row r="573" spans="1:27" s="126" customFormat="1">
      <c r="A573" s="76"/>
      <c r="B573" s="76"/>
      <c r="C573" s="75"/>
      <c r="D573" s="575"/>
      <c r="E573" s="75"/>
      <c r="F573" s="613"/>
      <c r="G573" s="739"/>
      <c r="H573" s="75"/>
      <c r="I573" s="75"/>
      <c r="J573" s="75"/>
      <c r="K573" s="75"/>
      <c r="L573" s="75"/>
      <c r="M573" s="75"/>
      <c r="N573" s="75"/>
      <c r="O573" s="75"/>
      <c r="P573" s="75"/>
      <c r="Q573" s="75"/>
      <c r="R573" s="75"/>
      <c r="S573" s="75"/>
      <c r="T573" s="75"/>
      <c r="U573" s="75"/>
      <c r="V573" s="75"/>
      <c r="W573" s="75"/>
      <c r="X573" s="75"/>
      <c r="Y573" s="75"/>
      <c r="Z573" s="75"/>
      <c r="AA573" s="75"/>
    </row>
    <row r="574" spans="1:27" s="126" customFormat="1">
      <c r="A574" s="76"/>
      <c r="B574" s="76"/>
      <c r="C574" s="75"/>
      <c r="D574" s="575"/>
      <c r="E574" s="75"/>
      <c r="F574" s="613"/>
      <c r="G574" s="739"/>
      <c r="H574" s="75"/>
      <c r="I574" s="75"/>
      <c r="J574" s="75"/>
      <c r="K574" s="75"/>
      <c r="L574" s="75"/>
      <c r="M574" s="75"/>
      <c r="N574" s="75"/>
      <c r="O574" s="75"/>
      <c r="P574" s="75"/>
      <c r="Q574" s="75"/>
      <c r="R574" s="75"/>
      <c r="S574" s="75"/>
      <c r="T574" s="75"/>
      <c r="U574" s="75"/>
      <c r="V574" s="75"/>
      <c r="W574" s="75"/>
      <c r="X574" s="75"/>
      <c r="Y574" s="75"/>
      <c r="Z574" s="75"/>
      <c r="AA574" s="75"/>
    </row>
    <row r="575" spans="1:27" s="126" customFormat="1">
      <c r="A575" s="76"/>
      <c r="B575" s="76"/>
      <c r="C575" s="75"/>
      <c r="D575" s="575"/>
      <c r="E575" s="75"/>
      <c r="F575" s="613"/>
      <c r="G575" s="739"/>
      <c r="H575" s="75"/>
      <c r="I575" s="75"/>
      <c r="J575" s="75"/>
      <c r="K575" s="75"/>
      <c r="L575" s="75"/>
      <c r="M575" s="75"/>
      <c r="N575" s="75"/>
      <c r="O575" s="75"/>
      <c r="P575" s="75"/>
      <c r="Q575" s="75"/>
      <c r="R575" s="75"/>
      <c r="S575" s="75"/>
      <c r="T575" s="75"/>
      <c r="U575" s="75"/>
      <c r="V575" s="75"/>
      <c r="W575" s="75"/>
      <c r="X575" s="75"/>
      <c r="Y575" s="75"/>
      <c r="Z575" s="75"/>
      <c r="AA575" s="75"/>
    </row>
    <row r="576" spans="1:27" s="126" customFormat="1">
      <c r="A576" s="76"/>
      <c r="B576" s="76"/>
      <c r="C576" s="75"/>
      <c r="D576" s="575"/>
      <c r="E576" s="75"/>
      <c r="F576" s="613"/>
      <c r="G576" s="739"/>
      <c r="H576" s="75"/>
      <c r="I576" s="75"/>
      <c r="J576" s="75"/>
      <c r="K576" s="75"/>
      <c r="L576" s="75"/>
      <c r="M576" s="75"/>
      <c r="N576" s="75"/>
      <c r="O576" s="75"/>
      <c r="P576" s="75"/>
      <c r="Q576" s="75"/>
      <c r="R576" s="75"/>
      <c r="S576" s="75"/>
      <c r="T576" s="75"/>
      <c r="U576" s="75"/>
      <c r="V576" s="75"/>
      <c r="W576" s="75"/>
      <c r="X576" s="75"/>
      <c r="Y576" s="75"/>
      <c r="Z576" s="75"/>
      <c r="AA576" s="75"/>
    </row>
    <row r="577" spans="1:27" s="126" customFormat="1">
      <c r="A577" s="76"/>
      <c r="B577" s="76"/>
      <c r="C577" s="75"/>
      <c r="D577" s="575"/>
      <c r="E577" s="75"/>
      <c r="F577" s="613"/>
      <c r="G577" s="739"/>
      <c r="H577" s="75"/>
      <c r="I577" s="75"/>
      <c r="J577" s="75"/>
      <c r="K577" s="75"/>
      <c r="L577" s="75"/>
      <c r="M577" s="75"/>
      <c r="N577" s="75"/>
      <c r="O577" s="75"/>
      <c r="P577" s="75"/>
      <c r="Q577" s="75"/>
      <c r="R577" s="75"/>
      <c r="S577" s="75"/>
      <c r="T577" s="75"/>
      <c r="U577" s="75"/>
      <c r="V577" s="75"/>
      <c r="W577" s="75"/>
      <c r="X577" s="75"/>
      <c r="Y577" s="75"/>
      <c r="Z577" s="75"/>
      <c r="AA577" s="75"/>
    </row>
    <row r="578" spans="1:27" s="126" customFormat="1">
      <c r="A578" s="76"/>
      <c r="B578" s="76"/>
      <c r="C578" s="75"/>
      <c r="D578" s="575"/>
      <c r="E578" s="75"/>
      <c r="F578" s="613"/>
      <c r="G578" s="739"/>
      <c r="H578" s="75"/>
      <c r="I578" s="75"/>
      <c r="J578" s="75"/>
      <c r="K578" s="75"/>
      <c r="L578" s="75"/>
      <c r="M578" s="75"/>
      <c r="N578" s="75"/>
      <c r="O578" s="75"/>
      <c r="P578" s="75"/>
      <c r="Q578" s="75"/>
      <c r="R578" s="75"/>
      <c r="S578" s="75"/>
      <c r="T578" s="75"/>
      <c r="U578" s="75"/>
      <c r="V578" s="75"/>
      <c r="W578" s="75"/>
      <c r="X578" s="75"/>
      <c r="Y578" s="75"/>
      <c r="Z578" s="75"/>
      <c r="AA578" s="75"/>
    </row>
    <row r="579" spans="1:27" s="126" customFormat="1">
      <c r="A579" s="76"/>
      <c r="B579" s="76"/>
      <c r="C579" s="75"/>
      <c r="D579" s="575"/>
      <c r="E579" s="75"/>
      <c r="F579" s="613"/>
      <c r="G579" s="739"/>
      <c r="H579" s="75"/>
      <c r="I579" s="75"/>
      <c r="J579" s="75"/>
      <c r="K579" s="75"/>
      <c r="L579" s="75"/>
      <c r="M579" s="75"/>
      <c r="N579" s="75"/>
      <c r="O579" s="75"/>
      <c r="P579" s="75"/>
      <c r="Q579" s="75"/>
      <c r="R579" s="75"/>
      <c r="S579" s="75"/>
      <c r="T579" s="75"/>
      <c r="U579" s="75"/>
      <c r="V579" s="75"/>
      <c r="W579" s="75"/>
      <c r="X579" s="75"/>
      <c r="Y579" s="75"/>
      <c r="Z579" s="75"/>
      <c r="AA579" s="75"/>
    </row>
    <row r="580" spans="1:27" s="126" customFormat="1">
      <c r="A580" s="76"/>
      <c r="B580" s="76"/>
      <c r="C580" s="75"/>
      <c r="D580" s="575"/>
      <c r="E580" s="75"/>
      <c r="F580" s="613"/>
      <c r="G580" s="739"/>
      <c r="H580" s="75"/>
      <c r="I580" s="75"/>
      <c r="J580" s="75"/>
      <c r="K580" s="75"/>
      <c r="L580" s="75"/>
      <c r="M580" s="75"/>
      <c r="N580" s="75"/>
      <c r="O580" s="75"/>
      <c r="P580" s="75"/>
      <c r="Q580" s="75"/>
      <c r="R580" s="75"/>
      <c r="S580" s="75"/>
      <c r="T580" s="75"/>
      <c r="U580" s="75"/>
      <c r="V580" s="75"/>
      <c r="W580" s="75"/>
      <c r="X580" s="75"/>
      <c r="Y580" s="75"/>
      <c r="Z580" s="75"/>
      <c r="AA580" s="75"/>
    </row>
    <row r="581" spans="1:27" s="126" customFormat="1">
      <c r="A581" s="76"/>
      <c r="B581" s="76"/>
      <c r="C581" s="75"/>
      <c r="D581" s="575"/>
      <c r="E581" s="75"/>
      <c r="F581" s="613"/>
      <c r="G581" s="739"/>
      <c r="H581" s="75"/>
      <c r="I581" s="75"/>
      <c r="J581" s="75"/>
      <c r="K581" s="75"/>
      <c r="L581" s="75"/>
      <c r="M581" s="75"/>
      <c r="N581" s="75"/>
      <c r="O581" s="75"/>
      <c r="P581" s="75"/>
      <c r="Q581" s="75"/>
      <c r="R581" s="75"/>
      <c r="S581" s="75"/>
      <c r="T581" s="75"/>
      <c r="U581" s="75"/>
      <c r="V581" s="75"/>
      <c r="W581" s="75"/>
      <c r="X581" s="75"/>
      <c r="Y581" s="75"/>
      <c r="Z581" s="75"/>
      <c r="AA581" s="75"/>
    </row>
    <row r="582" spans="1:27" s="126" customFormat="1">
      <c r="A582" s="76"/>
      <c r="B582" s="76"/>
      <c r="C582" s="75"/>
      <c r="D582" s="575"/>
      <c r="E582" s="75"/>
      <c r="F582" s="613"/>
      <c r="G582" s="739"/>
      <c r="H582" s="75"/>
      <c r="I582" s="75"/>
      <c r="J582" s="75"/>
      <c r="K582" s="75"/>
      <c r="L582" s="75"/>
      <c r="M582" s="75"/>
      <c r="N582" s="75"/>
      <c r="O582" s="75"/>
      <c r="P582" s="75"/>
      <c r="Q582" s="75"/>
      <c r="R582" s="75"/>
      <c r="S582" s="75"/>
      <c r="T582" s="75"/>
      <c r="U582" s="75"/>
      <c r="V582" s="75"/>
      <c r="W582" s="75"/>
      <c r="X582" s="75"/>
      <c r="Y582" s="75"/>
      <c r="Z582" s="75"/>
      <c r="AA582" s="75"/>
    </row>
    <row r="583" spans="1:27" s="126" customFormat="1">
      <c r="A583" s="76"/>
      <c r="B583" s="76"/>
      <c r="C583" s="75"/>
      <c r="D583" s="575"/>
      <c r="E583" s="75"/>
      <c r="F583" s="613"/>
      <c r="G583" s="739"/>
      <c r="H583" s="75"/>
      <c r="I583" s="75"/>
      <c r="J583" s="75"/>
      <c r="K583" s="75"/>
      <c r="L583" s="75"/>
      <c r="M583" s="75"/>
      <c r="N583" s="75"/>
      <c r="O583" s="75"/>
      <c r="P583" s="75"/>
      <c r="Q583" s="75"/>
      <c r="R583" s="75"/>
      <c r="S583" s="75"/>
      <c r="T583" s="75"/>
      <c r="U583" s="75"/>
      <c r="V583" s="75"/>
      <c r="W583" s="75"/>
      <c r="X583" s="75"/>
      <c r="Y583" s="75"/>
      <c r="Z583" s="75"/>
      <c r="AA583" s="75"/>
    </row>
    <row r="584" spans="1:27" s="126" customFormat="1">
      <c r="A584" s="76"/>
      <c r="B584" s="76"/>
      <c r="C584" s="75"/>
      <c r="D584" s="575"/>
      <c r="E584" s="75"/>
      <c r="F584" s="613"/>
      <c r="G584" s="739"/>
      <c r="H584" s="75"/>
      <c r="I584" s="75"/>
      <c r="J584" s="75"/>
      <c r="K584" s="75"/>
      <c r="L584" s="75"/>
      <c r="M584" s="75"/>
      <c r="N584" s="75"/>
      <c r="O584" s="75"/>
      <c r="P584" s="75"/>
      <c r="Q584" s="75"/>
      <c r="R584" s="75"/>
      <c r="S584" s="75"/>
      <c r="T584" s="75"/>
      <c r="U584" s="75"/>
      <c r="V584" s="75"/>
      <c r="W584" s="75"/>
      <c r="X584" s="75"/>
      <c r="Y584" s="75"/>
      <c r="Z584" s="75"/>
      <c r="AA584" s="75"/>
    </row>
    <row r="585" spans="1:27" s="126" customFormat="1">
      <c r="A585" s="76"/>
      <c r="B585" s="76"/>
      <c r="C585" s="75"/>
      <c r="D585" s="575"/>
      <c r="E585" s="75"/>
      <c r="F585" s="613"/>
      <c r="G585" s="739"/>
      <c r="H585" s="75"/>
      <c r="I585" s="75"/>
      <c r="J585" s="75"/>
      <c r="K585" s="75"/>
      <c r="L585" s="75"/>
      <c r="M585" s="75"/>
      <c r="N585" s="75"/>
      <c r="O585" s="75"/>
      <c r="P585" s="75"/>
      <c r="Q585" s="75"/>
      <c r="R585" s="75"/>
      <c r="S585" s="75"/>
      <c r="T585" s="75"/>
      <c r="U585" s="75"/>
      <c r="V585" s="75"/>
      <c r="W585" s="75"/>
      <c r="X585" s="75"/>
      <c r="Y585" s="75"/>
      <c r="Z585" s="75"/>
      <c r="AA585" s="75"/>
    </row>
    <row r="586" spans="1:27" s="126" customFormat="1">
      <c r="A586" s="76"/>
      <c r="B586" s="76"/>
      <c r="C586" s="75"/>
      <c r="D586" s="575"/>
      <c r="E586" s="75"/>
      <c r="F586" s="613"/>
      <c r="G586" s="739"/>
      <c r="H586" s="75"/>
      <c r="I586" s="75"/>
      <c r="J586" s="75"/>
      <c r="K586" s="75"/>
      <c r="L586" s="75"/>
      <c r="M586" s="75"/>
      <c r="N586" s="75"/>
      <c r="O586" s="75"/>
      <c r="P586" s="75"/>
      <c r="Q586" s="75"/>
      <c r="R586" s="75"/>
      <c r="S586" s="75"/>
      <c r="T586" s="75"/>
      <c r="U586" s="75"/>
      <c r="V586" s="75"/>
      <c r="W586" s="75"/>
      <c r="X586" s="75"/>
      <c r="Y586" s="75"/>
      <c r="Z586" s="75"/>
      <c r="AA586" s="75"/>
    </row>
    <row r="587" spans="1:27" s="126" customFormat="1">
      <c r="A587" s="76"/>
      <c r="B587" s="76"/>
      <c r="C587" s="75"/>
      <c r="D587" s="575"/>
      <c r="E587" s="75"/>
      <c r="F587" s="613"/>
      <c r="G587" s="739"/>
      <c r="H587" s="75"/>
      <c r="I587" s="75"/>
      <c r="J587" s="75"/>
      <c r="K587" s="75"/>
      <c r="L587" s="75"/>
      <c r="M587" s="75"/>
      <c r="N587" s="75"/>
      <c r="O587" s="75"/>
      <c r="P587" s="75"/>
      <c r="Q587" s="75"/>
      <c r="R587" s="75"/>
      <c r="S587" s="75"/>
      <c r="T587" s="75"/>
      <c r="U587" s="75"/>
      <c r="V587" s="75"/>
      <c r="W587" s="75"/>
      <c r="X587" s="75"/>
      <c r="Y587" s="75"/>
      <c r="Z587" s="75"/>
      <c r="AA587" s="75"/>
    </row>
    <row r="588" spans="1:27" s="126" customFormat="1">
      <c r="A588" s="76"/>
      <c r="B588" s="76"/>
      <c r="C588" s="75"/>
      <c r="D588" s="575"/>
      <c r="E588" s="75"/>
      <c r="F588" s="613"/>
      <c r="G588" s="739"/>
      <c r="H588" s="75"/>
      <c r="I588" s="75"/>
      <c r="J588" s="75"/>
      <c r="K588" s="75"/>
      <c r="L588" s="75"/>
      <c r="M588" s="75"/>
      <c r="N588" s="75"/>
      <c r="O588" s="75"/>
      <c r="P588" s="75"/>
      <c r="Q588" s="75"/>
      <c r="R588" s="75"/>
      <c r="S588" s="75"/>
      <c r="T588" s="75"/>
      <c r="U588" s="75"/>
      <c r="V588" s="75"/>
      <c r="W588" s="75"/>
      <c r="X588" s="75"/>
      <c r="Y588" s="75"/>
      <c r="Z588" s="75"/>
      <c r="AA588" s="75"/>
    </row>
    <row r="589" spans="1:27" s="126" customFormat="1">
      <c r="A589" s="76"/>
      <c r="B589" s="76"/>
      <c r="C589" s="75"/>
      <c r="D589" s="575"/>
      <c r="E589" s="75"/>
      <c r="F589" s="613"/>
      <c r="G589" s="739"/>
      <c r="H589" s="75"/>
      <c r="I589" s="75"/>
      <c r="J589" s="75"/>
      <c r="K589" s="75"/>
      <c r="L589" s="75"/>
      <c r="M589" s="75"/>
      <c r="N589" s="75"/>
      <c r="O589" s="75"/>
      <c r="P589" s="75"/>
      <c r="Q589" s="75"/>
      <c r="R589" s="75"/>
      <c r="S589" s="75"/>
      <c r="T589" s="75"/>
      <c r="U589" s="75"/>
      <c r="V589" s="75"/>
      <c r="W589" s="75"/>
      <c r="X589" s="75"/>
      <c r="Y589" s="75"/>
      <c r="Z589" s="75"/>
      <c r="AA589" s="75"/>
    </row>
    <row r="590" spans="1:27" s="126" customFormat="1">
      <c r="A590" s="76"/>
      <c r="B590" s="76"/>
      <c r="C590" s="75"/>
      <c r="D590" s="575"/>
      <c r="E590" s="75"/>
      <c r="F590" s="613"/>
      <c r="G590" s="739"/>
      <c r="H590" s="75"/>
      <c r="I590" s="75"/>
      <c r="J590" s="75"/>
      <c r="K590" s="75"/>
      <c r="L590" s="75"/>
      <c r="M590" s="75"/>
      <c r="N590" s="75"/>
      <c r="O590" s="75"/>
      <c r="P590" s="75"/>
      <c r="Q590" s="75"/>
      <c r="R590" s="75"/>
      <c r="S590" s="75"/>
      <c r="T590" s="75"/>
      <c r="U590" s="75"/>
      <c r="V590" s="75"/>
      <c r="W590" s="75"/>
      <c r="X590" s="75"/>
      <c r="Y590" s="75"/>
      <c r="Z590" s="75"/>
      <c r="AA590" s="75"/>
    </row>
    <row r="591" spans="1:27" s="126" customFormat="1">
      <c r="A591" s="76"/>
      <c r="B591" s="76"/>
      <c r="C591" s="75"/>
      <c r="D591" s="575"/>
      <c r="E591" s="75"/>
      <c r="F591" s="613"/>
      <c r="G591" s="739"/>
      <c r="H591" s="75"/>
      <c r="I591" s="75"/>
      <c r="J591" s="75"/>
      <c r="K591" s="75"/>
      <c r="L591" s="75"/>
      <c r="M591" s="75"/>
      <c r="N591" s="75"/>
      <c r="O591" s="75"/>
      <c r="P591" s="75"/>
      <c r="Q591" s="75"/>
      <c r="R591" s="75"/>
      <c r="S591" s="75"/>
      <c r="T591" s="75"/>
      <c r="U591" s="75"/>
      <c r="V591" s="75"/>
      <c r="W591" s="75"/>
      <c r="X591" s="75"/>
      <c r="Y591" s="75"/>
      <c r="Z591" s="75"/>
      <c r="AA591" s="75"/>
    </row>
    <row r="592" spans="1:27" s="126" customFormat="1">
      <c r="A592" s="76"/>
      <c r="B592" s="76"/>
      <c r="C592" s="75"/>
      <c r="D592" s="575"/>
      <c r="E592" s="75"/>
      <c r="F592" s="613"/>
      <c r="G592" s="739"/>
      <c r="H592" s="75"/>
      <c r="I592" s="75"/>
      <c r="J592" s="75"/>
      <c r="K592" s="75"/>
      <c r="L592" s="75"/>
      <c r="M592" s="75"/>
      <c r="N592" s="75"/>
      <c r="O592" s="75"/>
      <c r="P592" s="75"/>
      <c r="Q592" s="75"/>
      <c r="R592" s="75"/>
      <c r="S592" s="75"/>
      <c r="T592" s="75"/>
      <c r="U592" s="75"/>
      <c r="V592" s="75"/>
      <c r="W592" s="75"/>
      <c r="X592" s="75"/>
      <c r="Y592" s="75"/>
      <c r="Z592" s="75"/>
      <c r="AA592" s="75"/>
    </row>
    <row r="593" spans="1:27" s="126" customFormat="1">
      <c r="A593" s="76"/>
      <c r="B593" s="76"/>
      <c r="C593" s="75"/>
      <c r="D593" s="575"/>
      <c r="E593" s="75"/>
      <c r="F593" s="613"/>
      <c r="G593" s="739"/>
      <c r="H593" s="75"/>
      <c r="I593" s="75"/>
      <c r="J593" s="75"/>
      <c r="K593" s="75"/>
      <c r="L593" s="75"/>
      <c r="M593" s="75"/>
      <c r="N593" s="75"/>
      <c r="O593" s="75"/>
      <c r="P593" s="75"/>
      <c r="Q593" s="75"/>
      <c r="R593" s="75"/>
      <c r="S593" s="75"/>
      <c r="T593" s="75"/>
      <c r="U593" s="75"/>
      <c r="V593" s="75"/>
      <c r="W593" s="75"/>
      <c r="X593" s="75"/>
      <c r="Y593" s="75"/>
      <c r="Z593" s="75"/>
      <c r="AA593" s="75"/>
    </row>
    <row r="594" spans="1:27" s="126" customFormat="1">
      <c r="A594" s="76"/>
      <c r="B594" s="76"/>
      <c r="C594" s="75"/>
      <c r="D594" s="575"/>
      <c r="E594" s="75"/>
      <c r="F594" s="613"/>
      <c r="G594" s="739"/>
      <c r="H594" s="75"/>
      <c r="I594" s="75"/>
      <c r="J594" s="75"/>
      <c r="K594" s="75"/>
      <c r="L594" s="75"/>
      <c r="M594" s="75"/>
      <c r="N594" s="75"/>
      <c r="O594" s="75"/>
      <c r="P594" s="75"/>
      <c r="Q594" s="75"/>
      <c r="R594" s="75"/>
      <c r="S594" s="75"/>
      <c r="T594" s="75"/>
      <c r="U594" s="75"/>
      <c r="V594" s="75"/>
      <c r="W594" s="75"/>
      <c r="X594" s="75"/>
      <c r="Y594" s="75"/>
      <c r="Z594" s="75"/>
      <c r="AA594" s="75"/>
    </row>
    <row r="595" spans="1:27" s="126" customFormat="1">
      <c r="A595" s="76"/>
      <c r="B595" s="76"/>
      <c r="C595" s="75"/>
      <c r="D595" s="575"/>
      <c r="E595" s="75"/>
      <c r="F595" s="613"/>
      <c r="G595" s="739"/>
      <c r="H595" s="75"/>
      <c r="I595" s="75"/>
      <c r="J595" s="75"/>
      <c r="K595" s="75"/>
      <c r="L595" s="75"/>
      <c r="M595" s="75"/>
      <c r="N595" s="75"/>
      <c r="O595" s="75"/>
      <c r="P595" s="75"/>
      <c r="Q595" s="75"/>
      <c r="R595" s="75"/>
      <c r="S595" s="75"/>
      <c r="T595" s="75"/>
      <c r="U595" s="75"/>
      <c r="V595" s="75"/>
      <c r="W595" s="75"/>
      <c r="X595" s="75"/>
      <c r="Y595" s="75"/>
      <c r="Z595" s="75"/>
      <c r="AA595" s="75"/>
    </row>
    <row r="596" spans="1:27" s="126" customFormat="1">
      <c r="A596" s="76"/>
      <c r="B596" s="76"/>
      <c r="C596" s="75"/>
      <c r="D596" s="575"/>
      <c r="E596" s="75"/>
      <c r="F596" s="613"/>
      <c r="G596" s="739"/>
      <c r="H596" s="75"/>
      <c r="I596" s="75"/>
      <c r="J596" s="75"/>
      <c r="K596" s="75"/>
      <c r="L596" s="75"/>
      <c r="M596" s="75"/>
      <c r="N596" s="75"/>
      <c r="O596" s="75"/>
      <c r="P596" s="75"/>
      <c r="Q596" s="75"/>
      <c r="R596" s="75"/>
      <c r="S596" s="75"/>
      <c r="T596" s="75"/>
      <c r="U596" s="75"/>
      <c r="V596" s="75"/>
      <c r="W596" s="75"/>
      <c r="X596" s="75"/>
      <c r="Y596" s="75"/>
      <c r="Z596" s="75"/>
      <c r="AA596" s="75"/>
    </row>
    <row r="597" spans="1:27" s="126" customFormat="1">
      <c r="A597" s="76"/>
      <c r="B597" s="76"/>
      <c r="C597" s="75"/>
      <c r="D597" s="575"/>
      <c r="E597" s="75"/>
      <c r="F597" s="613"/>
      <c r="G597" s="739"/>
      <c r="H597" s="75"/>
      <c r="I597" s="75"/>
      <c r="J597" s="75"/>
      <c r="K597" s="75"/>
      <c r="L597" s="75"/>
      <c r="M597" s="75"/>
      <c r="N597" s="75"/>
      <c r="O597" s="75"/>
      <c r="P597" s="75"/>
      <c r="Q597" s="75"/>
      <c r="R597" s="75"/>
      <c r="S597" s="75"/>
      <c r="T597" s="75"/>
      <c r="U597" s="75"/>
      <c r="V597" s="75"/>
      <c r="W597" s="75"/>
      <c r="X597" s="75"/>
      <c r="Y597" s="75"/>
      <c r="Z597" s="75"/>
      <c r="AA597" s="75"/>
    </row>
    <row r="598" spans="1:27" s="126" customFormat="1">
      <c r="A598" s="76"/>
      <c r="B598" s="76"/>
      <c r="C598" s="75"/>
      <c r="D598" s="575"/>
      <c r="E598" s="75"/>
      <c r="F598" s="613"/>
      <c r="G598" s="739"/>
      <c r="H598" s="75"/>
      <c r="I598" s="75"/>
      <c r="J598" s="75"/>
      <c r="K598" s="75"/>
      <c r="L598" s="75"/>
      <c r="M598" s="75"/>
      <c r="N598" s="75"/>
      <c r="O598" s="75"/>
      <c r="P598" s="75"/>
      <c r="Q598" s="75"/>
      <c r="R598" s="75"/>
      <c r="S598" s="75"/>
      <c r="T598" s="75"/>
      <c r="U598" s="75"/>
      <c r="V598" s="75"/>
      <c r="W598" s="75"/>
      <c r="X598" s="75"/>
      <c r="Y598" s="75"/>
      <c r="Z598" s="75"/>
      <c r="AA598" s="75"/>
    </row>
    <row r="599" spans="1:27" s="126" customFormat="1">
      <c r="A599" s="76"/>
      <c r="B599" s="76"/>
      <c r="C599" s="75"/>
      <c r="D599" s="575"/>
      <c r="E599" s="75"/>
      <c r="F599" s="613"/>
      <c r="G599" s="739"/>
      <c r="H599" s="75"/>
      <c r="I599" s="75"/>
      <c r="J599" s="75"/>
      <c r="K599" s="75"/>
      <c r="L599" s="75"/>
      <c r="M599" s="75"/>
      <c r="N599" s="75"/>
      <c r="O599" s="75"/>
      <c r="P599" s="75"/>
      <c r="Q599" s="75"/>
      <c r="R599" s="75"/>
      <c r="S599" s="75"/>
      <c r="T599" s="75"/>
      <c r="U599" s="75"/>
      <c r="V599" s="75"/>
      <c r="W599" s="75"/>
      <c r="X599" s="75"/>
      <c r="Y599" s="75"/>
      <c r="Z599" s="75"/>
      <c r="AA599" s="75"/>
    </row>
    <row r="600" spans="1:27" s="126" customFormat="1">
      <c r="A600" s="76"/>
      <c r="B600" s="76"/>
      <c r="C600" s="75"/>
      <c r="D600" s="575"/>
      <c r="E600" s="75"/>
      <c r="F600" s="613"/>
      <c r="G600" s="739"/>
      <c r="H600" s="75"/>
      <c r="I600" s="75"/>
      <c r="J600" s="75"/>
      <c r="K600" s="75"/>
      <c r="L600" s="75"/>
      <c r="M600" s="75"/>
      <c r="N600" s="75"/>
      <c r="O600" s="75"/>
      <c r="P600" s="75"/>
      <c r="Q600" s="75"/>
      <c r="R600" s="75"/>
      <c r="S600" s="75"/>
      <c r="T600" s="75"/>
      <c r="U600" s="75"/>
      <c r="V600" s="75"/>
      <c r="W600" s="75"/>
      <c r="X600" s="75"/>
      <c r="Y600" s="75"/>
      <c r="Z600" s="75"/>
      <c r="AA600" s="75"/>
    </row>
    <row r="601" spans="1:27" s="126" customFormat="1">
      <c r="A601" s="76"/>
      <c r="B601" s="76"/>
      <c r="C601" s="75"/>
      <c r="D601" s="575"/>
      <c r="E601" s="75"/>
      <c r="F601" s="613"/>
      <c r="G601" s="739"/>
      <c r="H601" s="75"/>
      <c r="I601" s="75"/>
      <c r="J601" s="75"/>
      <c r="K601" s="75"/>
      <c r="L601" s="75"/>
      <c r="M601" s="75"/>
      <c r="N601" s="75"/>
      <c r="O601" s="75"/>
      <c r="P601" s="75"/>
      <c r="Q601" s="75"/>
      <c r="R601" s="75"/>
      <c r="S601" s="75"/>
      <c r="T601" s="75"/>
      <c r="U601" s="75"/>
      <c r="V601" s="75"/>
      <c r="W601" s="75"/>
      <c r="X601" s="75"/>
      <c r="Y601" s="75"/>
      <c r="Z601" s="75"/>
      <c r="AA601" s="75"/>
    </row>
    <row r="602" spans="1:27" s="126" customFormat="1">
      <c r="A602" s="76"/>
      <c r="B602" s="76"/>
      <c r="C602" s="75"/>
      <c r="D602" s="575"/>
      <c r="E602" s="75"/>
      <c r="F602" s="613"/>
      <c r="G602" s="739"/>
      <c r="H602" s="75"/>
      <c r="I602" s="75"/>
      <c r="J602" s="75"/>
      <c r="K602" s="75"/>
      <c r="L602" s="75"/>
      <c r="M602" s="75"/>
      <c r="N602" s="75"/>
      <c r="O602" s="75"/>
      <c r="P602" s="75"/>
      <c r="Q602" s="75"/>
      <c r="R602" s="75"/>
      <c r="S602" s="75"/>
      <c r="T602" s="75"/>
      <c r="U602" s="75"/>
      <c r="V602" s="75"/>
      <c r="W602" s="75"/>
      <c r="X602" s="75"/>
      <c r="Y602" s="75"/>
      <c r="Z602" s="75"/>
      <c r="AA602" s="75"/>
    </row>
    <row r="603" spans="1:27" s="126" customFormat="1">
      <c r="A603" s="76"/>
      <c r="B603" s="76"/>
      <c r="C603" s="75"/>
      <c r="D603" s="575"/>
      <c r="E603" s="75"/>
      <c r="F603" s="613"/>
      <c r="G603" s="739"/>
      <c r="H603" s="75"/>
      <c r="I603" s="75"/>
      <c r="J603" s="75"/>
      <c r="K603" s="75"/>
      <c r="L603" s="75"/>
      <c r="M603" s="75"/>
      <c r="N603" s="75"/>
      <c r="O603" s="75"/>
      <c r="P603" s="75"/>
      <c r="Q603" s="75"/>
      <c r="R603" s="75"/>
      <c r="S603" s="75"/>
      <c r="T603" s="75"/>
      <c r="U603" s="75"/>
      <c r="V603" s="75"/>
      <c r="W603" s="75"/>
      <c r="X603" s="75"/>
      <c r="Y603" s="75"/>
      <c r="Z603" s="75"/>
      <c r="AA603" s="75"/>
    </row>
    <row r="604" spans="1:27" s="126" customFormat="1">
      <c r="A604" s="76"/>
      <c r="B604" s="76"/>
      <c r="C604" s="75"/>
      <c r="D604" s="575"/>
      <c r="E604" s="75"/>
      <c r="F604" s="613"/>
      <c r="G604" s="739"/>
      <c r="H604" s="75"/>
      <c r="I604" s="75"/>
      <c r="J604" s="75"/>
      <c r="K604" s="75"/>
      <c r="L604" s="75"/>
      <c r="M604" s="75"/>
      <c r="N604" s="75"/>
      <c r="O604" s="75"/>
      <c r="P604" s="75"/>
      <c r="Q604" s="75"/>
      <c r="R604" s="75"/>
      <c r="S604" s="75"/>
      <c r="T604" s="75"/>
      <c r="U604" s="75"/>
      <c r="V604" s="75"/>
      <c r="W604" s="75"/>
      <c r="X604" s="75"/>
      <c r="Y604" s="75"/>
      <c r="Z604" s="75"/>
      <c r="AA604" s="75"/>
    </row>
    <row r="605" spans="1:27" s="126" customFormat="1">
      <c r="A605" s="76"/>
      <c r="B605" s="76"/>
      <c r="C605" s="75"/>
      <c r="D605" s="575"/>
      <c r="E605" s="75"/>
      <c r="F605" s="613"/>
      <c r="G605" s="739"/>
      <c r="H605" s="75"/>
      <c r="I605" s="75"/>
      <c r="J605" s="75"/>
      <c r="K605" s="75"/>
      <c r="L605" s="75"/>
      <c r="M605" s="75"/>
      <c r="N605" s="75"/>
      <c r="O605" s="75"/>
      <c r="P605" s="75"/>
      <c r="Q605" s="75"/>
      <c r="R605" s="75"/>
      <c r="S605" s="75"/>
      <c r="T605" s="75"/>
      <c r="U605" s="75"/>
      <c r="V605" s="75"/>
      <c r="W605" s="75"/>
      <c r="X605" s="75"/>
      <c r="Y605" s="75"/>
      <c r="Z605" s="75"/>
      <c r="AA605" s="75"/>
    </row>
    <row r="606" spans="1:27" s="126" customFormat="1">
      <c r="A606" s="76"/>
      <c r="B606" s="76"/>
      <c r="C606" s="75"/>
      <c r="D606" s="575"/>
      <c r="E606" s="75"/>
      <c r="F606" s="613"/>
      <c r="G606" s="739"/>
      <c r="H606" s="75"/>
      <c r="I606" s="75"/>
      <c r="J606" s="75"/>
      <c r="K606" s="75"/>
      <c r="L606" s="75"/>
      <c r="M606" s="75"/>
      <c r="N606" s="75"/>
      <c r="O606" s="75"/>
      <c r="P606" s="75"/>
      <c r="Q606" s="75"/>
      <c r="R606" s="75"/>
      <c r="S606" s="75"/>
      <c r="T606" s="75"/>
      <c r="U606" s="75"/>
      <c r="V606" s="75"/>
      <c r="W606" s="75"/>
      <c r="X606" s="75"/>
      <c r="Y606" s="75"/>
      <c r="Z606" s="75"/>
      <c r="AA606" s="75"/>
    </row>
    <row r="607" spans="1:27" s="126" customFormat="1">
      <c r="A607" s="76"/>
      <c r="B607" s="76"/>
      <c r="C607" s="75"/>
      <c r="D607" s="575"/>
      <c r="E607" s="75"/>
      <c r="F607" s="613"/>
      <c r="G607" s="739"/>
      <c r="H607" s="75"/>
      <c r="I607" s="75"/>
      <c r="J607" s="75"/>
      <c r="K607" s="75"/>
      <c r="L607" s="75"/>
      <c r="M607" s="75"/>
      <c r="N607" s="75"/>
      <c r="O607" s="75"/>
      <c r="P607" s="75"/>
      <c r="Q607" s="75"/>
      <c r="R607" s="75"/>
      <c r="S607" s="75"/>
      <c r="T607" s="75"/>
      <c r="U607" s="75"/>
      <c r="V607" s="75"/>
      <c r="W607" s="75"/>
      <c r="X607" s="75"/>
      <c r="Y607" s="75"/>
      <c r="Z607" s="75"/>
      <c r="AA607" s="75"/>
    </row>
    <row r="608" spans="1:27" s="126" customFormat="1">
      <c r="A608" s="76"/>
      <c r="B608" s="76"/>
      <c r="C608" s="75"/>
      <c r="D608" s="575"/>
      <c r="E608" s="75"/>
      <c r="F608" s="613"/>
      <c r="G608" s="739"/>
      <c r="H608" s="75"/>
      <c r="I608" s="75"/>
      <c r="J608" s="75"/>
      <c r="K608" s="75"/>
      <c r="L608" s="75"/>
      <c r="M608" s="75"/>
      <c r="N608" s="75"/>
      <c r="O608" s="75"/>
      <c r="P608" s="75"/>
      <c r="Q608" s="75"/>
      <c r="R608" s="75"/>
      <c r="S608" s="75"/>
      <c r="T608" s="75"/>
      <c r="U608" s="75"/>
      <c r="V608" s="75"/>
      <c r="W608" s="75"/>
      <c r="X608" s="75"/>
      <c r="Y608" s="75"/>
      <c r="Z608" s="75"/>
      <c r="AA608" s="75"/>
    </row>
    <row r="609" spans="1:27" s="126" customFormat="1">
      <c r="A609" s="76"/>
      <c r="B609" s="76"/>
      <c r="C609" s="75"/>
      <c r="D609" s="575"/>
      <c r="E609" s="75"/>
      <c r="F609" s="613"/>
      <c r="G609" s="739"/>
      <c r="H609" s="75"/>
      <c r="I609" s="75"/>
      <c r="J609" s="75"/>
      <c r="K609" s="75"/>
      <c r="L609" s="75"/>
      <c r="M609" s="75"/>
      <c r="N609" s="75"/>
      <c r="O609" s="75"/>
      <c r="P609" s="75"/>
      <c r="Q609" s="75"/>
      <c r="R609" s="75"/>
      <c r="S609" s="75"/>
      <c r="T609" s="75"/>
      <c r="U609" s="75"/>
      <c r="V609" s="75"/>
      <c r="W609" s="75"/>
      <c r="X609" s="75"/>
      <c r="Y609" s="75"/>
      <c r="Z609" s="75"/>
      <c r="AA609" s="75"/>
    </row>
    <row r="610" spans="1:27" s="126" customFormat="1">
      <c r="A610" s="76"/>
      <c r="B610" s="76"/>
      <c r="C610" s="75"/>
      <c r="D610" s="575"/>
      <c r="E610" s="75"/>
      <c r="F610" s="613"/>
      <c r="G610" s="739"/>
      <c r="H610" s="75"/>
      <c r="I610" s="75"/>
      <c r="J610" s="75"/>
      <c r="K610" s="75"/>
      <c r="L610" s="75"/>
      <c r="M610" s="75"/>
      <c r="N610" s="75"/>
      <c r="O610" s="75"/>
      <c r="P610" s="75"/>
      <c r="Q610" s="75"/>
      <c r="R610" s="75"/>
      <c r="S610" s="75"/>
      <c r="T610" s="75"/>
      <c r="U610" s="75"/>
      <c r="V610" s="75"/>
      <c r="W610" s="75"/>
      <c r="X610" s="75"/>
      <c r="Y610" s="75"/>
      <c r="Z610" s="75"/>
      <c r="AA610" s="75"/>
    </row>
    <row r="611" spans="1:27" s="126" customFormat="1">
      <c r="A611" s="76"/>
      <c r="B611" s="76"/>
      <c r="C611" s="75"/>
      <c r="D611" s="575"/>
      <c r="E611" s="75"/>
      <c r="F611" s="613"/>
      <c r="G611" s="739"/>
      <c r="H611" s="75"/>
      <c r="I611" s="75"/>
      <c r="J611" s="75"/>
      <c r="K611" s="75"/>
      <c r="L611" s="75"/>
      <c r="M611" s="75"/>
      <c r="N611" s="75"/>
      <c r="O611" s="75"/>
      <c r="P611" s="75"/>
      <c r="Q611" s="75"/>
      <c r="R611" s="75"/>
      <c r="S611" s="75"/>
      <c r="T611" s="75"/>
      <c r="U611" s="75"/>
      <c r="V611" s="75"/>
      <c r="W611" s="75"/>
      <c r="X611" s="75"/>
      <c r="Y611" s="75"/>
      <c r="Z611" s="75"/>
      <c r="AA611" s="75"/>
    </row>
    <row r="612" spans="1:27" s="126" customFormat="1">
      <c r="A612" s="76"/>
      <c r="B612" s="76"/>
      <c r="C612" s="75"/>
      <c r="D612" s="575"/>
      <c r="E612" s="75"/>
      <c r="F612" s="613"/>
      <c r="G612" s="739"/>
      <c r="H612" s="75"/>
      <c r="I612" s="75"/>
      <c r="J612" s="75"/>
      <c r="K612" s="75"/>
      <c r="L612" s="75"/>
      <c r="M612" s="75"/>
      <c r="N612" s="75"/>
      <c r="O612" s="75"/>
      <c r="P612" s="75"/>
      <c r="Q612" s="75"/>
      <c r="R612" s="75"/>
      <c r="S612" s="75"/>
      <c r="T612" s="75"/>
      <c r="U612" s="75"/>
      <c r="V612" s="75"/>
      <c r="W612" s="75"/>
      <c r="X612" s="75"/>
      <c r="Y612" s="75"/>
      <c r="Z612" s="75"/>
      <c r="AA612" s="75"/>
    </row>
    <row r="613" spans="1:27" s="126" customFormat="1">
      <c r="A613" s="76"/>
      <c r="B613" s="76"/>
      <c r="C613" s="75"/>
      <c r="D613" s="575"/>
      <c r="E613" s="75"/>
      <c r="F613" s="613"/>
      <c r="G613" s="739"/>
      <c r="H613" s="75"/>
      <c r="I613" s="75"/>
      <c r="J613" s="75"/>
      <c r="K613" s="75"/>
      <c r="L613" s="75"/>
      <c r="M613" s="75"/>
      <c r="N613" s="75"/>
      <c r="O613" s="75"/>
      <c r="P613" s="75"/>
      <c r="Q613" s="75"/>
      <c r="R613" s="75"/>
      <c r="S613" s="75"/>
      <c r="T613" s="75"/>
      <c r="U613" s="75"/>
      <c r="V613" s="75"/>
      <c r="W613" s="75"/>
      <c r="X613" s="75"/>
      <c r="Y613" s="75"/>
      <c r="Z613" s="75"/>
      <c r="AA613" s="75"/>
    </row>
    <row r="614" spans="1:27" s="126" customFormat="1">
      <c r="A614" s="76"/>
      <c r="B614" s="76"/>
      <c r="C614" s="75"/>
      <c r="D614" s="575"/>
      <c r="E614" s="75"/>
      <c r="F614" s="613"/>
      <c r="G614" s="739"/>
      <c r="H614" s="75"/>
      <c r="I614" s="75"/>
      <c r="J614" s="75"/>
      <c r="K614" s="75"/>
      <c r="L614" s="75"/>
      <c r="M614" s="75"/>
      <c r="N614" s="75"/>
      <c r="O614" s="75"/>
      <c r="P614" s="75"/>
      <c r="Q614" s="75"/>
      <c r="R614" s="75"/>
      <c r="S614" s="75"/>
      <c r="T614" s="75"/>
      <c r="U614" s="75"/>
      <c r="V614" s="75"/>
      <c r="W614" s="75"/>
      <c r="X614" s="75"/>
      <c r="Y614" s="75"/>
      <c r="Z614" s="75"/>
      <c r="AA614" s="75"/>
    </row>
    <row r="615" spans="1:27" s="126" customFormat="1">
      <c r="A615" s="76"/>
      <c r="B615" s="76"/>
      <c r="C615" s="75"/>
      <c r="D615" s="575"/>
      <c r="E615" s="75"/>
      <c r="F615" s="613"/>
      <c r="G615" s="739"/>
      <c r="H615" s="75"/>
      <c r="I615" s="75"/>
      <c r="J615" s="75"/>
      <c r="K615" s="75"/>
      <c r="L615" s="75"/>
      <c r="M615" s="75"/>
      <c r="N615" s="75"/>
      <c r="O615" s="75"/>
      <c r="P615" s="75"/>
      <c r="Q615" s="75"/>
      <c r="R615" s="75"/>
      <c r="S615" s="75"/>
      <c r="T615" s="75"/>
      <c r="U615" s="75"/>
      <c r="V615" s="75"/>
      <c r="W615" s="75"/>
      <c r="X615" s="75"/>
      <c r="Y615" s="75"/>
      <c r="Z615" s="75"/>
      <c r="AA615" s="75"/>
    </row>
    <row r="616" spans="1:27" s="126" customFormat="1">
      <c r="A616" s="76"/>
      <c r="B616" s="76"/>
      <c r="C616" s="75"/>
      <c r="D616" s="575"/>
      <c r="E616" s="75"/>
      <c r="F616" s="613"/>
      <c r="G616" s="739"/>
      <c r="H616" s="75"/>
      <c r="I616" s="75"/>
      <c r="J616" s="75"/>
      <c r="K616" s="75"/>
      <c r="L616" s="75"/>
      <c r="M616" s="75"/>
      <c r="N616" s="75"/>
      <c r="O616" s="75"/>
      <c r="P616" s="75"/>
      <c r="Q616" s="75"/>
      <c r="R616" s="75"/>
      <c r="S616" s="75"/>
      <c r="T616" s="75"/>
      <c r="U616" s="75"/>
      <c r="V616" s="75"/>
      <c r="W616" s="75"/>
      <c r="X616" s="75"/>
      <c r="Y616" s="75"/>
      <c r="Z616" s="75"/>
      <c r="AA616" s="75"/>
    </row>
    <row r="617" spans="1:27" s="126" customFormat="1">
      <c r="A617" s="76"/>
      <c r="B617" s="76"/>
      <c r="C617" s="75"/>
      <c r="D617" s="575"/>
      <c r="E617" s="75"/>
      <c r="F617" s="613"/>
      <c r="G617" s="739"/>
      <c r="H617" s="75"/>
      <c r="I617" s="75"/>
      <c r="J617" s="75"/>
      <c r="K617" s="75"/>
      <c r="L617" s="75"/>
      <c r="M617" s="75"/>
      <c r="N617" s="75"/>
      <c r="O617" s="75"/>
      <c r="P617" s="75"/>
      <c r="Q617" s="75"/>
      <c r="R617" s="75"/>
      <c r="S617" s="75"/>
      <c r="T617" s="75"/>
      <c r="U617" s="75"/>
      <c r="V617" s="75"/>
      <c r="W617" s="75"/>
      <c r="X617" s="75"/>
      <c r="Y617" s="75"/>
      <c r="Z617" s="75"/>
      <c r="AA617" s="75"/>
    </row>
    <row r="618" spans="1:27" s="126" customFormat="1">
      <c r="A618" s="76"/>
      <c r="B618" s="76"/>
      <c r="C618" s="75"/>
      <c r="D618" s="575"/>
      <c r="E618" s="75"/>
      <c r="F618" s="613"/>
      <c r="G618" s="739"/>
      <c r="H618" s="75"/>
      <c r="I618" s="75"/>
      <c r="J618" s="75"/>
      <c r="K618" s="75"/>
      <c r="L618" s="75"/>
      <c r="M618" s="75"/>
      <c r="N618" s="75"/>
      <c r="O618" s="75"/>
      <c r="P618" s="75"/>
      <c r="Q618" s="75"/>
      <c r="R618" s="75"/>
      <c r="S618" s="75"/>
      <c r="T618" s="75"/>
      <c r="U618" s="75"/>
      <c r="V618" s="75"/>
      <c r="W618" s="75"/>
      <c r="X618" s="75"/>
      <c r="Y618" s="75"/>
      <c r="Z618" s="75"/>
      <c r="AA618" s="75"/>
    </row>
    <row r="619" spans="1:27" s="126" customFormat="1">
      <c r="A619" s="76"/>
      <c r="B619" s="76"/>
      <c r="C619" s="75"/>
      <c r="D619" s="575"/>
      <c r="E619" s="75"/>
      <c r="F619" s="613"/>
      <c r="G619" s="739"/>
      <c r="H619" s="75"/>
      <c r="I619" s="75"/>
      <c r="J619" s="75"/>
      <c r="K619" s="75"/>
      <c r="L619" s="75"/>
      <c r="M619" s="75"/>
      <c r="N619" s="75"/>
      <c r="O619" s="75"/>
      <c r="P619" s="75"/>
      <c r="Q619" s="75"/>
      <c r="R619" s="75"/>
      <c r="S619" s="75"/>
      <c r="T619" s="75"/>
      <c r="U619" s="75"/>
      <c r="V619" s="75"/>
      <c r="W619" s="75"/>
      <c r="X619" s="75"/>
      <c r="Y619" s="75"/>
      <c r="Z619" s="75"/>
      <c r="AA619" s="75"/>
    </row>
    <row r="620" spans="1:27" s="126" customFormat="1">
      <c r="A620" s="76"/>
      <c r="B620" s="76"/>
      <c r="C620" s="75"/>
      <c r="D620" s="575"/>
      <c r="E620" s="75"/>
      <c r="F620" s="613"/>
      <c r="G620" s="739"/>
      <c r="H620" s="75"/>
      <c r="I620" s="75"/>
      <c r="J620" s="75"/>
      <c r="K620" s="75"/>
      <c r="L620" s="75"/>
      <c r="M620" s="75"/>
      <c r="N620" s="75"/>
      <c r="O620" s="75"/>
      <c r="P620" s="75"/>
      <c r="Q620" s="75"/>
      <c r="R620" s="75"/>
      <c r="S620" s="75"/>
      <c r="T620" s="75"/>
      <c r="U620" s="75"/>
      <c r="V620" s="75"/>
      <c r="W620" s="75"/>
      <c r="X620" s="75"/>
      <c r="Y620" s="75"/>
      <c r="Z620" s="75"/>
      <c r="AA620" s="75"/>
    </row>
    <row r="621" spans="1:27" s="126" customFormat="1">
      <c r="A621" s="76"/>
      <c r="B621" s="76"/>
      <c r="C621" s="75"/>
      <c r="D621" s="575"/>
      <c r="E621" s="75"/>
      <c r="F621" s="613"/>
      <c r="G621" s="739"/>
      <c r="H621" s="75"/>
      <c r="I621" s="75"/>
      <c r="J621" s="75"/>
      <c r="K621" s="75"/>
      <c r="L621" s="75"/>
      <c r="M621" s="75"/>
      <c r="N621" s="75"/>
      <c r="O621" s="75"/>
      <c r="P621" s="75"/>
      <c r="Q621" s="75"/>
      <c r="R621" s="75"/>
      <c r="S621" s="75"/>
      <c r="T621" s="75"/>
      <c r="U621" s="75"/>
      <c r="V621" s="75"/>
      <c r="W621" s="75"/>
      <c r="X621" s="75"/>
      <c r="Y621" s="75"/>
      <c r="Z621" s="75"/>
      <c r="AA621" s="75"/>
    </row>
    <row r="622" spans="1:27" s="126" customFormat="1">
      <c r="A622" s="76"/>
      <c r="B622" s="76"/>
      <c r="C622" s="75"/>
      <c r="D622" s="575"/>
      <c r="E622" s="75"/>
      <c r="F622" s="613"/>
      <c r="G622" s="739"/>
      <c r="H622" s="75"/>
      <c r="I622" s="75"/>
      <c r="J622" s="75"/>
      <c r="K622" s="75"/>
      <c r="L622" s="75"/>
      <c r="M622" s="75"/>
      <c r="N622" s="75"/>
      <c r="O622" s="75"/>
      <c r="P622" s="75"/>
      <c r="Q622" s="75"/>
      <c r="R622" s="75"/>
      <c r="S622" s="75"/>
      <c r="T622" s="75"/>
      <c r="U622" s="75"/>
      <c r="V622" s="75"/>
      <c r="W622" s="75"/>
      <c r="X622" s="75"/>
      <c r="Y622" s="75"/>
      <c r="Z622" s="75"/>
      <c r="AA622" s="75"/>
    </row>
    <row r="623" spans="1:27" s="126" customFormat="1">
      <c r="A623" s="76"/>
      <c r="B623" s="76"/>
      <c r="C623" s="75"/>
      <c r="D623" s="575"/>
      <c r="E623" s="75"/>
      <c r="F623" s="613"/>
      <c r="G623" s="739"/>
      <c r="H623" s="75"/>
      <c r="I623" s="75"/>
      <c r="J623" s="75"/>
      <c r="K623" s="75"/>
      <c r="L623" s="75"/>
      <c r="M623" s="75"/>
      <c r="N623" s="75"/>
      <c r="O623" s="75"/>
      <c r="P623" s="75"/>
      <c r="Q623" s="75"/>
      <c r="R623" s="75"/>
      <c r="S623" s="75"/>
      <c r="T623" s="75"/>
      <c r="U623" s="75"/>
      <c r="V623" s="75"/>
      <c r="W623" s="75"/>
      <c r="X623" s="75"/>
      <c r="Y623" s="75"/>
      <c r="Z623" s="75"/>
      <c r="AA623" s="75"/>
    </row>
    <row r="624" spans="1:27" s="126" customFormat="1">
      <c r="A624" s="76"/>
      <c r="B624" s="76"/>
      <c r="C624" s="75"/>
      <c r="D624" s="575"/>
      <c r="E624" s="75"/>
      <c r="F624" s="613"/>
      <c r="G624" s="739"/>
      <c r="H624" s="75"/>
      <c r="I624" s="75"/>
      <c r="J624" s="75"/>
      <c r="K624" s="75"/>
      <c r="L624" s="75"/>
      <c r="M624" s="75"/>
      <c r="N624" s="75"/>
      <c r="O624" s="75"/>
      <c r="P624" s="75"/>
      <c r="Q624" s="75"/>
      <c r="R624" s="75"/>
      <c r="S624" s="75"/>
      <c r="T624" s="75"/>
      <c r="U624" s="75"/>
      <c r="V624" s="75"/>
      <c r="W624" s="75"/>
      <c r="X624" s="75"/>
      <c r="Y624" s="75"/>
      <c r="Z624" s="75"/>
      <c r="AA624" s="75"/>
    </row>
    <row r="625" spans="1:27" s="126" customFormat="1">
      <c r="A625" s="76"/>
      <c r="B625" s="76"/>
      <c r="C625" s="75"/>
      <c r="D625" s="575"/>
      <c r="E625" s="75"/>
      <c r="F625" s="613"/>
      <c r="G625" s="739"/>
      <c r="H625" s="75"/>
      <c r="I625" s="75"/>
      <c r="J625" s="75"/>
      <c r="K625" s="75"/>
      <c r="L625" s="75"/>
      <c r="M625" s="75"/>
      <c r="N625" s="75"/>
      <c r="O625" s="75"/>
      <c r="P625" s="75"/>
      <c r="Q625" s="75"/>
      <c r="R625" s="75"/>
      <c r="S625" s="75"/>
      <c r="T625" s="75"/>
      <c r="U625" s="75"/>
      <c r="V625" s="75"/>
      <c r="W625" s="75"/>
      <c r="X625" s="75"/>
      <c r="Y625" s="75"/>
      <c r="Z625" s="75"/>
      <c r="AA625" s="75"/>
    </row>
    <row r="626" spans="1:27" s="126" customFormat="1">
      <c r="A626" s="76"/>
      <c r="B626" s="76"/>
      <c r="C626" s="75"/>
      <c r="D626" s="575"/>
      <c r="E626" s="75"/>
      <c r="F626" s="613"/>
      <c r="G626" s="739"/>
      <c r="H626" s="75"/>
      <c r="I626" s="75"/>
      <c r="J626" s="75"/>
      <c r="K626" s="75"/>
      <c r="L626" s="75"/>
      <c r="M626" s="75"/>
      <c r="N626" s="75"/>
      <c r="O626" s="75"/>
      <c r="P626" s="75"/>
      <c r="Q626" s="75"/>
      <c r="R626" s="75"/>
      <c r="S626" s="75"/>
      <c r="T626" s="75"/>
      <c r="U626" s="75"/>
      <c r="V626" s="75"/>
      <c r="W626" s="75"/>
      <c r="X626" s="75"/>
      <c r="Y626" s="75"/>
      <c r="Z626" s="75"/>
      <c r="AA626" s="75"/>
    </row>
    <row r="627" spans="1:27" s="126" customFormat="1">
      <c r="A627" s="76"/>
      <c r="B627" s="76"/>
      <c r="C627" s="75"/>
      <c r="D627" s="575"/>
      <c r="E627" s="75"/>
      <c r="F627" s="613"/>
      <c r="G627" s="739"/>
      <c r="H627" s="75"/>
      <c r="I627" s="75"/>
      <c r="J627" s="75"/>
      <c r="K627" s="75"/>
      <c r="L627" s="75"/>
      <c r="M627" s="75"/>
      <c r="N627" s="75"/>
      <c r="O627" s="75"/>
      <c r="P627" s="75"/>
      <c r="Q627" s="75"/>
      <c r="R627" s="75"/>
      <c r="S627" s="75"/>
      <c r="T627" s="75"/>
      <c r="U627" s="75"/>
      <c r="V627" s="75"/>
      <c r="W627" s="75"/>
      <c r="X627" s="75"/>
      <c r="Y627" s="75"/>
      <c r="Z627" s="75"/>
      <c r="AA627" s="75"/>
    </row>
    <row r="628" spans="1:27" s="126" customFormat="1">
      <c r="A628" s="76"/>
      <c r="B628" s="76"/>
      <c r="C628" s="75"/>
      <c r="D628" s="575"/>
      <c r="E628" s="75"/>
      <c r="F628" s="613"/>
      <c r="G628" s="739"/>
      <c r="H628" s="75"/>
      <c r="I628" s="75"/>
      <c r="J628" s="75"/>
      <c r="K628" s="75"/>
      <c r="L628" s="75"/>
      <c r="M628" s="75"/>
      <c r="N628" s="75"/>
      <c r="O628" s="75"/>
      <c r="P628" s="75"/>
      <c r="Q628" s="75"/>
      <c r="R628" s="75"/>
      <c r="S628" s="75"/>
      <c r="T628" s="75"/>
      <c r="U628" s="75"/>
      <c r="V628" s="75"/>
      <c r="W628" s="75"/>
      <c r="X628" s="75"/>
      <c r="Y628" s="75"/>
      <c r="Z628" s="75"/>
      <c r="AA628" s="75"/>
    </row>
    <row r="629" spans="1:27" s="126" customFormat="1">
      <c r="A629" s="76"/>
      <c r="B629" s="76"/>
      <c r="C629" s="75"/>
      <c r="D629" s="575"/>
      <c r="E629" s="75"/>
      <c r="F629" s="613"/>
      <c r="G629" s="739"/>
      <c r="H629" s="75"/>
      <c r="I629" s="75"/>
      <c r="J629" s="75"/>
      <c r="K629" s="75"/>
      <c r="L629" s="75"/>
      <c r="M629" s="75"/>
      <c r="N629" s="75"/>
      <c r="O629" s="75"/>
      <c r="P629" s="75"/>
      <c r="Q629" s="75"/>
      <c r="R629" s="75"/>
      <c r="S629" s="75"/>
      <c r="T629" s="75"/>
      <c r="U629" s="75"/>
      <c r="V629" s="75"/>
      <c r="W629" s="75"/>
      <c r="X629" s="75"/>
      <c r="Y629" s="75"/>
      <c r="Z629" s="75"/>
      <c r="AA629" s="75"/>
    </row>
    <row r="630" spans="1:27" s="126" customFormat="1">
      <c r="A630" s="76"/>
      <c r="B630" s="76"/>
      <c r="C630" s="75"/>
      <c r="D630" s="575"/>
      <c r="E630" s="75"/>
      <c r="F630" s="613"/>
      <c r="G630" s="739"/>
      <c r="H630" s="75"/>
      <c r="I630" s="75"/>
      <c r="J630" s="75"/>
      <c r="K630" s="75"/>
      <c r="L630" s="75"/>
      <c r="M630" s="75"/>
      <c r="N630" s="75"/>
      <c r="O630" s="75"/>
      <c r="P630" s="75"/>
      <c r="Q630" s="75"/>
      <c r="R630" s="75"/>
      <c r="S630" s="75"/>
      <c r="T630" s="75"/>
      <c r="U630" s="75"/>
      <c r="V630" s="75"/>
      <c r="W630" s="75"/>
      <c r="X630" s="75"/>
      <c r="Y630" s="75"/>
      <c r="Z630" s="75"/>
      <c r="AA630" s="75"/>
    </row>
    <row r="631" spans="1:27" s="126" customFormat="1">
      <c r="A631" s="76"/>
      <c r="B631" s="76"/>
      <c r="C631" s="75"/>
      <c r="D631" s="575"/>
      <c r="E631" s="75"/>
      <c r="F631" s="613"/>
      <c r="G631" s="739"/>
      <c r="H631" s="75"/>
      <c r="I631" s="75"/>
      <c r="J631" s="75"/>
      <c r="K631" s="75"/>
      <c r="L631" s="75"/>
      <c r="M631" s="75"/>
      <c r="N631" s="75"/>
      <c r="O631" s="75"/>
      <c r="P631" s="75"/>
      <c r="Q631" s="75"/>
      <c r="R631" s="75"/>
      <c r="S631" s="75"/>
      <c r="T631" s="75"/>
      <c r="U631" s="75"/>
      <c r="V631" s="75"/>
      <c r="W631" s="75"/>
      <c r="X631" s="75"/>
      <c r="Y631" s="75"/>
      <c r="Z631" s="75"/>
      <c r="AA631" s="75"/>
    </row>
    <row r="632" spans="1:27" s="126" customFormat="1">
      <c r="A632" s="76"/>
      <c r="B632" s="76"/>
      <c r="C632" s="75"/>
      <c r="D632" s="575"/>
      <c r="E632" s="75"/>
      <c r="F632" s="613"/>
      <c r="G632" s="739"/>
      <c r="H632" s="75"/>
      <c r="I632" s="75"/>
      <c r="J632" s="75"/>
      <c r="K632" s="75"/>
      <c r="L632" s="75"/>
      <c r="M632" s="75"/>
      <c r="N632" s="75"/>
      <c r="O632" s="75"/>
      <c r="P632" s="75"/>
      <c r="Q632" s="75"/>
      <c r="R632" s="75"/>
      <c r="S632" s="75"/>
      <c r="T632" s="75"/>
      <c r="U632" s="75"/>
      <c r="V632" s="75"/>
      <c r="W632" s="75"/>
      <c r="X632" s="75"/>
      <c r="Y632" s="75"/>
      <c r="Z632" s="75"/>
      <c r="AA632" s="75"/>
    </row>
    <row r="633" spans="1:27" s="126" customFormat="1">
      <c r="A633" s="76"/>
      <c r="B633" s="76"/>
      <c r="C633" s="75"/>
      <c r="D633" s="575"/>
      <c r="E633" s="75"/>
      <c r="F633" s="613"/>
      <c r="G633" s="739"/>
      <c r="H633" s="75"/>
      <c r="I633" s="75"/>
      <c r="J633" s="75"/>
      <c r="K633" s="75"/>
      <c r="L633" s="75"/>
      <c r="M633" s="75"/>
      <c r="N633" s="75"/>
      <c r="O633" s="75"/>
      <c r="P633" s="75"/>
      <c r="Q633" s="75"/>
      <c r="R633" s="75"/>
      <c r="S633" s="75"/>
      <c r="T633" s="75"/>
      <c r="U633" s="75"/>
      <c r="V633" s="75"/>
      <c r="W633" s="75"/>
      <c r="X633" s="75"/>
      <c r="Y633" s="75"/>
      <c r="Z633" s="75"/>
      <c r="AA633" s="75"/>
    </row>
    <row r="634" spans="1:27" s="126" customFormat="1">
      <c r="A634" s="76"/>
      <c r="B634" s="76"/>
      <c r="C634" s="75"/>
      <c r="D634" s="575"/>
      <c r="E634" s="75"/>
      <c r="F634" s="613"/>
      <c r="G634" s="739"/>
      <c r="H634" s="75"/>
      <c r="I634" s="75"/>
      <c r="J634" s="75"/>
      <c r="K634" s="75"/>
      <c r="L634" s="75"/>
      <c r="M634" s="75"/>
      <c r="N634" s="75"/>
      <c r="O634" s="75"/>
      <c r="P634" s="75"/>
      <c r="Q634" s="75"/>
      <c r="R634" s="75"/>
      <c r="S634" s="75"/>
      <c r="T634" s="75"/>
      <c r="U634" s="75"/>
      <c r="V634" s="75"/>
      <c r="W634" s="75"/>
      <c r="X634" s="75"/>
      <c r="Y634" s="75"/>
      <c r="Z634" s="75"/>
      <c r="AA634" s="75"/>
    </row>
    <row r="635" spans="1:27" s="126" customFormat="1">
      <c r="A635" s="76"/>
      <c r="B635" s="76"/>
      <c r="C635" s="75"/>
      <c r="D635" s="575"/>
      <c r="E635" s="75"/>
      <c r="F635" s="613"/>
      <c r="G635" s="739"/>
      <c r="H635" s="75"/>
      <c r="I635" s="75"/>
      <c r="J635" s="75"/>
      <c r="K635" s="75"/>
      <c r="L635" s="75"/>
      <c r="M635" s="75"/>
      <c r="N635" s="75"/>
      <c r="O635" s="75"/>
      <c r="P635" s="75"/>
      <c r="Q635" s="75"/>
      <c r="R635" s="75"/>
      <c r="S635" s="75"/>
      <c r="T635" s="75"/>
      <c r="U635" s="75"/>
      <c r="V635" s="75"/>
      <c r="W635" s="75"/>
      <c r="X635" s="75"/>
      <c r="Y635" s="75"/>
      <c r="Z635" s="75"/>
      <c r="AA635" s="75"/>
    </row>
    <row r="636" spans="1:27" s="126" customFormat="1">
      <c r="A636" s="76"/>
      <c r="B636" s="76"/>
      <c r="C636" s="75"/>
      <c r="D636" s="575"/>
      <c r="E636" s="75"/>
      <c r="F636" s="613"/>
      <c r="G636" s="739"/>
      <c r="H636" s="75"/>
      <c r="I636" s="75"/>
      <c r="J636" s="75"/>
      <c r="K636" s="75"/>
      <c r="L636" s="75"/>
      <c r="M636" s="75"/>
      <c r="N636" s="75"/>
      <c r="O636" s="75"/>
      <c r="P636" s="75"/>
      <c r="Q636" s="75"/>
      <c r="R636" s="75"/>
      <c r="S636" s="75"/>
      <c r="T636" s="75"/>
      <c r="U636" s="75"/>
      <c r="V636" s="75"/>
      <c r="W636" s="75"/>
      <c r="X636" s="75"/>
      <c r="Y636" s="75"/>
      <c r="Z636" s="75"/>
      <c r="AA636" s="75"/>
    </row>
    <row r="637" spans="1:27" s="126" customFormat="1">
      <c r="A637" s="76"/>
      <c r="B637" s="76"/>
      <c r="C637" s="75"/>
      <c r="D637" s="575"/>
      <c r="E637" s="75"/>
      <c r="F637" s="613"/>
      <c r="G637" s="739"/>
      <c r="H637" s="75"/>
      <c r="I637" s="75"/>
      <c r="J637" s="75"/>
      <c r="K637" s="75"/>
      <c r="L637" s="75"/>
      <c r="M637" s="75"/>
      <c r="N637" s="75"/>
      <c r="O637" s="75"/>
      <c r="P637" s="75"/>
      <c r="Q637" s="75"/>
      <c r="R637" s="75"/>
      <c r="S637" s="75"/>
      <c r="T637" s="75"/>
      <c r="U637" s="75"/>
      <c r="V637" s="75"/>
      <c r="W637" s="75"/>
      <c r="X637" s="75"/>
      <c r="Y637" s="75"/>
      <c r="Z637" s="75"/>
      <c r="AA637" s="75"/>
    </row>
    <row r="638" spans="1:27" s="126" customFormat="1">
      <c r="A638" s="76"/>
      <c r="B638" s="76"/>
      <c r="C638" s="75"/>
      <c r="D638" s="575"/>
      <c r="E638" s="75"/>
      <c r="F638" s="613"/>
      <c r="G638" s="739"/>
      <c r="H638" s="75"/>
      <c r="I638" s="75"/>
      <c r="J638" s="75"/>
      <c r="K638" s="75"/>
      <c r="L638" s="75"/>
      <c r="M638" s="75"/>
      <c r="N638" s="75"/>
      <c r="O638" s="75"/>
      <c r="P638" s="75"/>
      <c r="Q638" s="75"/>
      <c r="R638" s="75"/>
      <c r="S638" s="75"/>
      <c r="T638" s="75"/>
      <c r="U638" s="75"/>
      <c r="V638" s="75"/>
      <c r="W638" s="75"/>
      <c r="X638" s="75"/>
      <c r="Y638" s="75"/>
      <c r="Z638" s="75"/>
      <c r="AA638" s="75"/>
    </row>
    <row r="639" spans="1:27" s="126" customFormat="1">
      <c r="A639" s="76"/>
      <c r="B639" s="76"/>
      <c r="C639" s="75"/>
      <c r="D639" s="575"/>
      <c r="E639" s="75"/>
      <c r="F639" s="613"/>
      <c r="G639" s="739"/>
      <c r="H639" s="75"/>
      <c r="I639" s="75"/>
      <c r="J639" s="75"/>
      <c r="K639" s="75"/>
      <c r="L639" s="75"/>
      <c r="M639" s="75"/>
      <c r="N639" s="75"/>
      <c r="O639" s="75"/>
      <c r="P639" s="75"/>
      <c r="Q639" s="75"/>
      <c r="R639" s="75"/>
      <c r="S639" s="75"/>
      <c r="T639" s="75"/>
      <c r="U639" s="75"/>
      <c r="V639" s="75"/>
      <c r="W639" s="75"/>
      <c r="X639" s="75"/>
      <c r="Y639" s="75"/>
      <c r="Z639" s="75"/>
      <c r="AA639" s="75"/>
    </row>
    <row r="640" spans="1:27" s="126" customFormat="1">
      <c r="A640" s="76"/>
      <c r="B640" s="76"/>
      <c r="C640" s="75"/>
      <c r="D640" s="575"/>
      <c r="E640" s="75"/>
      <c r="F640" s="613"/>
      <c r="G640" s="739"/>
      <c r="H640" s="75"/>
      <c r="I640" s="75"/>
      <c r="J640" s="75"/>
      <c r="K640" s="75"/>
      <c r="L640" s="75"/>
      <c r="M640" s="75"/>
      <c r="N640" s="75"/>
      <c r="O640" s="75"/>
      <c r="P640" s="75"/>
      <c r="Q640" s="75"/>
      <c r="R640" s="75"/>
      <c r="S640" s="75"/>
      <c r="T640" s="75"/>
      <c r="U640" s="75"/>
      <c r="V640" s="75"/>
      <c r="W640" s="75"/>
      <c r="X640" s="75"/>
      <c r="Y640" s="75"/>
      <c r="Z640" s="75"/>
      <c r="AA640" s="75"/>
    </row>
    <row r="641" spans="1:27" s="126" customFormat="1">
      <c r="A641" s="76"/>
      <c r="B641" s="76"/>
      <c r="C641" s="75"/>
      <c r="D641" s="575"/>
      <c r="E641" s="75"/>
      <c r="F641" s="613"/>
      <c r="G641" s="739"/>
      <c r="H641" s="75"/>
      <c r="I641" s="75"/>
      <c r="J641" s="75"/>
      <c r="K641" s="75"/>
      <c r="L641" s="75"/>
      <c r="M641" s="75"/>
      <c r="N641" s="75"/>
      <c r="O641" s="75"/>
      <c r="P641" s="75"/>
      <c r="Q641" s="75"/>
      <c r="R641" s="75"/>
      <c r="S641" s="75"/>
      <c r="T641" s="75"/>
      <c r="U641" s="75"/>
      <c r="V641" s="75"/>
      <c r="W641" s="75"/>
      <c r="X641" s="75"/>
      <c r="Y641" s="75"/>
      <c r="Z641" s="75"/>
      <c r="AA641" s="75"/>
    </row>
    <row r="642" spans="1:27" s="126" customFormat="1">
      <c r="A642" s="76"/>
      <c r="B642" s="76"/>
      <c r="C642" s="75"/>
      <c r="D642" s="575"/>
      <c r="E642" s="75"/>
      <c r="F642" s="613"/>
      <c r="G642" s="739"/>
      <c r="H642" s="75"/>
      <c r="I642" s="75"/>
      <c r="J642" s="75"/>
      <c r="K642" s="75"/>
      <c r="L642" s="75"/>
      <c r="M642" s="75"/>
      <c r="N642" s="75"/>
      <c r="O642" s="75"/>
      <c r="P642" s="75"/>
      <c r="Q642" s="75"/>
      <c r="R642" s="75"/>
      <c r="S642" s="75"/>
      <c r="T642" s="75"/>
      <c r="U642" s="75"/>
      <c r="V642" s="75"/>
      <c r="W642" s="75"/>
      <c r="X642" s="75"/>
      <c r="Y642" s="75"/>
      <c r="Z642" s="75"/>
      <c r="AA642" s="75"/>
    </row>
    <row r="643" spans="1:27" s="126" customFormat="1">
      <c r="A643" s="76"/>
      <c r="B643" s="76"/>
      <c r="C643" s="75"/>
      <c r="D643" s="575"/>
      <c r="E643" s="75"/>
      <c r="F643" s="613"/>
      <c r="G643" s="739"/>
      <c r="H643" s="75"/>
      <c r="I643" s="75"/>
      <c r="J643" s="75"/>
      <c r="K643" s="75"/>
      <c r="L643" s="75"/>
      <c r="M643" s="75"/>
      <c r="N643" s="75"/>
      <c r="O643" s="75"/>
      <c r="P643" s="75"/>
      <c r="Q643" s="75"/>
      <c r="R643" s="75"/>
      <c r="S643" s="75"/>
      <c r="T643" s="75"/>
      <c r="U643" s="75"/>
      <c r="V643" s="75"/>
      <c r="W643" s="75"/>
      <c r="X643" s="75"/>
      <c r="Y643" s="75"/>
      <c r="Z643" s="75"/>
      <c r="AA643" s="75"/>
    </row>
    <row r="644" spans="1:27" s="126" customFormat="1">
      <c r="A644" s="76"/>
      <c r="B644" s="76"/>
      <c r="C644" s="75"/>
      <c r="D644" s="575"/>
      <c r="E644" s="75"/>
      <c r="F644" s="613"/>
      <c r="G644" s="739"/>
      <c r="H644" s="75"/>
      <c r="I644" s="75"/>
      <c r="J644" s="75"/>
      <c r="K644" s="75"/>
      <c r="L644" s="75"/>
      <c r="M644" s="75"/>
      <c r="N644" s="75"/>
      <c r="O644" s="75"/>
      <c r="P644" s="75"/>
      <c r="Q644" s="75"/>
      <c r="R644" s="75"/>
      <c r="S644" s="75"/>
      <c r="T644" s="75"/>
      <c r="U644" s="75"/>
      <c r="V644" s="75"/>
      <c r="W644" s="75"/>
      <c r="X644" s="75"/>
      <c r="Y644" s="75"/>
      <c r="Z644" s="75"/>
      <c r="AA644" s="75"/>
    </row>
    <row r="645" spans="1:27" s="126" customFormat="1">
      <c r="A645" s="76"/>
      <c r="B645" s="76"/>
      <c r="C645" s="75"/>
      <c r="D645" s="575"/>
      <c r="E645" s="75"/>
      <c r="F645" s="613"/>
      <c r="G645" s="739"/>
      <c r="H645" s="75"/>
      <c r="I645" s="75"/>
      <c r="J645" s="75"/>
      <c r="K645" s="75"/>
      <c r="L645" s="75"/>
      <c r="M645" s="75"/>
      <c r="N645" s="75"/>
      <c r="O645" s="75"/>
      <c r="P645" s="75"/>
      <c r="Q645" s="75"/>
      <c r="R645" s="75"/>
      <c r="S645" s="75"/>
      <c r="T645" s="75"/>
      <c r="U645" s="75"/>
      <c r="V645" s="75"/>
      <c r="W645" s="75"/>
      <c r="X645" s="75"/>
      <c r="Y645" s="75"/>
      <c r="Z645" s="75"/>
      <c r="AA645" s="75"/>
    </row>
    <row r="646" spans="1:27" s="126" customFormat="1">
      <c r="A646" s="76"/>
      <c r="B646" s="76"/>
      <c r="C646" s="75"/>
      <c r="D646" s="575"/>
      <c r="E646" s="75"/>
      <c r="F646" s="613"/>
      <c r="G646" s="739"/>
      <c r="H646" s="75"/>
      <c r="I646" s="75"/>
      <c r="J646" s="75"/>
      <c r="K646" s="75"/>
      <c r="L646" s="75"/>
      <c r="M646" s="75"/>
      <c r="N646" s="75"/>
      <c r="O646" s="75"/>
      <c r="P646" s="75"/>
      <c r="Q646" s="75"/>
      <c r="R646" s="75"/>
      <c r="S646" s="75"/>
      <c r="T646" s="75"/>
      <c r="U646" s="75"/>
      <c r="V646" s="75"/>
      <c r="W646" s="75"/>
      <c r="X646" s="75"/>
      <c r="Y646" s="75"/>
      <c r="Z646" s="75"/>
      <c r="AA646" s="75"/>
    </row>
    <row r="647" spans="1:27" s="126" customFormat="1">
      <c r="A647" s="76"/>
      <c r="B647" s="76"/>
      <c r="C647" s="75"/>
      <c r="D647" s="575"/>
      <c r="E647" s="75"/>
      <c r="F647" s="613"/>
      <c r="G647" s="739"/>
      <c r="H647" s="75"/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</row>
    <row r="648" spans="1:27" s="126" customFormat="1">
      <c r="A648" s="76"/>
      <c r="B648" s="76"/>
      <c r="C648" s="75"/>
      <c r="D648" s="575"/>
      <c r="E648" s="75"/>
      <c r="F648" s="613"/>
      <c r="G648" s="739"/>
      <c r="H648" s="75"/>
      <c r="I648" s="75"/>
      <c r="J648" s="75"/>
      <c r="K648" s="75"/>
      <c r="L648" s="75"/>
      <c r="M648" s="75"/>
      <c r="N648" s="75"/>
      <c r="O648" s="75"/>
      <c r="P648" s="75"/>
      <c r="Q648" s="75"/>
      <c r="R648" s="75"/>
      <c r="S648" s="75"/>
      <c r="T648" s="75"/>
      <c r="U648" s="75"/>
      <c r="V648" s="75"/>
      <c r="W648" s="75"/>
      <c r="X648" s="75"/>
      <c r="Y648" s="75"/>
      <c r="Z648" s="75"/>
      <c r="AA648" s="75"/>
    </row>
    <row r="649" spans="1:27" s="126" customFormat="1">
      <c r="A649" s="76"/>
      <c r="B649" s="76"/>
      <c r="C649" s="75"/>
      <c r="D649" s="575"/>
      <c r="E649" s="75"/>
      <c r="F649" s="613"/>
      <c r="G649" s="739"/>
      <c r="H649" s="75"/>
      <c r="I649" s="75"/>
      <c r="J649" s="75"/>
      <c r="K649" s="75"/>
      <c r="L649" s="75"/>
      <c r="M649" s="75"/>
      <c r="N649" s="75"/>
      <c r="O649" s="75"/>
      <c r="P649" s="75"/>
      <c r="Q649" s="75"/>
      <c r="R649" s="75"/>
      <c r="S649" s="75"/>
      <c r="T649" s="75"/>
      <c r="U649" s="75"/>
      <c r="V649" s="75"/>
      <c r="W649" s="75"/>
      <c r="X649" s="75"/>
      <c r="Y649" s="75"/>
      <c r="Z649" s="75"/>
      <c r="AA649" s="75"/>
    </row>
    <row r="650" spans="1:27" s="126" customFormat="1">
      <c r="A650" s="76"/>
      <c r="B650" s="76"/>
      <c r="C650" s="75"/>
      <c r="D650" s="575"/>
      <c r="E650" s="75"/>
      <c r="F650" s="613"/>
      <c r="G650" s="739"/>
      <c r="H650" s="75"/>
      <c r="I650" s="75"/>
      <c r="J650" s="75"/>
      <c r="K650" s="75"/>
      <c r="L650" s="75"/>
      <c r="M650" s="75"/>
      <c r="N650" s="75"/>
      <c r="O650" s="75"/>
      <c r="P650" s="75"/>
      <c r="Q650" s="75"/>
      <c r="R650" s="75"/>
      <c r="S650" s="75"/>
      <c r="T650" s="75"/>
      <c r="U650" s="75"/>
      <c r="V650" s="75"/>
      <c r="W650" s="75"/>
      <c r="X650" s="75"/>
      <c r="Y650" s="75"/>
      <c r="Z650" s="75"/>
      <c r="AA650" s="75"/>
    </row>
    <row r="651" spans="1:27" s="126" customFormat="1">
      <c r="A651" s="76"/>
      <c r="B651" s="76"/>
      <c r="C651" s="75"/>
      <c r="D651" s="575"/>
      <c r="E651" s="75"/>
      <c r="F651" s="613"/>
      <c r="G651" s="739"/>
      <c r="H651" s="75"/>
      <c r="I651" s="75"/>
      <c r="J651" s="75"/>
      <c r="K651" s="75"/>
      <c r="L651" s="75"/>
      <c r="M651" s="75"/>
      <c r="N651" s="75"/>
      <c r="O651" s="75"/>
      <c r="P651" s="75"/>
      <c r="Q651" s="75"/>
      <c r="R651" s="75"/>
      <c r="S651" s="75"/>
      <c r="T651" s="75"/>
      <c r="U651" s="75"/>
      <c r="V651" s="75"/>
      <c r="W651" s="75"/>
      <c r="X651" s="75"/>
      <c r="Y651" s="75"/>
      <c r="Z651" s="75"/>
      <c r="AA651" s="75"/>
    </row>
    <row r="652" spans="1:27" s="126" customFormat="1">
      <c r="A652" s="76"/>
      <c r="B652" s="76"/>
      <c r="C652" s="75"/>
      <c r="D652" s="575"/>
      <c r="E652" s="75"/>
      <c r="F652" s="613"/>
      <c r="G652" s="739"/>
      <c r="H652" s="75"/>
      <c r="I652" s="75"/>
      <c r="J652" s="75"/>
      <c r="K652" s="75"/>
      <c r="L652" s="75"/>
      <c r="M652" s="75"/>
      <c r="N652" s="75"/>
      <c r="O652" s="75"/>
      <c r="P652" s="75"/>
      <c r="Q652" s="75"/>
      <c r="R652" s="75"/>
      <c r="S652" s="75"/>
      <c r="T652" s="75"/>
      <c r="U652" s="75"/>
      <c r="V652" s="75"/>
      <c r="W652" s="75"/>
      <c r="X652" s="75"/>
      <c r="Y652" s="75"/>
      <c r="Z652" s="75"/>
      <c r="AA652" s="75"/>
    </row>
    <row r="653" spans="1:27" s="126" customFormat="1">
      <c r="A653" s="76"/>
      <c r="B653" s="76"/>
      <c r="C653" s="75"/>
      <c r="D653" s="575"/>
      <c r="E653" s="75"/>
      <c r="F653" s="613"/>
      <c r="G653" s="739"/>
      <c r="H653" s="75"/>
      <c r="I653" s="75"/>
      <c r="J653" s="75"/>
      <c r="K653" s="75"/>
      <c r="L653" s="75"/>
      <c r="M653" s="75"/>
      <c r="N653" s="75"/>
      <c r="O653" s="75"/>
      <c r="P653" s="75"/>
      <c r="Q653" s="75"/>
      <c r="R653" s="75"/>
      <c r="S653" s="75"/>
      <c r="T653" s="75"/>
      <c r="U653" s="75"/>
      <c r="V653" s="75"/>
      <c r="W653" s="75"/>
      <c r="X653" s="75"/>
      <c r="Y653" s="75"/>
      <c r="Z653" s="75"/>
      <c r="AA653" s="75"/>
    </row>
    <row r="654" spans="1:27" s="126" customFormat="1">
      <c r="A654" s="76"/>
      <c r="B654" s="76"/>
      <c r="C654" s="75"/>
      <c r="D654" s="575"/>
      <c r="E654" s="75"/>
      <c r="F654" s="613"/>
      <c r="G654" s="739"/>
      <c r="H654" s="75"/>
      <c r="I654" s="75"/>
      <c r="J654" s="75"/>
      <c r="K654" s="75"/>
      <c r="L654" s="75"/>
      <c r="M654" s="75"/>
      <c r="N654" s="75"/>
      <c r="O654" s="75"/>
      <c r="P654" s="75"/>
      <c r="Q654" s="75"/>
      <c r="R654" s="75"/>
      <c r="S654" s="75"/>
      <c r="T654" s="75"/>
      <c r="U654" s="75"/>
      <c r="V654" s="75"/>
      <c r="W654" s="75"/>
      <c r="X654" s="75"/>
      <c r="Y654" s="75"/>
      <c r="Z654" s="75"/>
      <c r="AA654" s="75"/>
    </row>
    <row r="655" spans="1:27" s="126" customFormat="1">
      <c r="A655" s="76"/>
      <c r="B655" s="76"/>
      <c r="C655" s="75"/>
      <c r="D655" s="575"/>
      <c r="E655" s="75"/>
      <c r="F655" s="613"/>
      <c r="G655" s="739"/>
      <c r="H655" s="75"/>
      <c r="I655" s="75"/>
      <c r="J655" s="75"/>
      <c r="K655" s="75"/>
      <c r="L655" s="75"/>
      <c r="M655" s="75"/>
      <c r="N655" s="75"/>
      <c r="O655" s="75"/>
      <c r="P655" s="75"/>
      <c r="Q655" s="75"/>
      <c r="R655" s="75"/>
      <c r="S655" s="75"/>
      <c r="T655" s="75"/>
      <c r="U655" s="75"/>
      <c r="V655" s="75"/>
      <c r="W655" s="75"/>
      <c r="X655" s="75"/>
      <c r="Y655" s="75"/>
      <c r="Z655" s="75"/>
      <c r="AA655" s="75"/>
    </row>
    <row r="656" spans="1:27" s="126" customFormat="1">
      <c r="A656" s="76"/>
      <c r="B656" s="76"/>
      <c r="C656" s="75"/>
      <c r="D656" s="575"/>
      <c r="E656" s="75"/>
      <c r="F656" s="613"/>
      <c r="G656" s="739"/>
      <c r="H656" s="75"/>
      <c r="I656" s="75"/>
      <c r="J656" s="75"/>
      <c r="K656" s="75"/>
      <c r="L656" s="75"/>
      <c r="M656" s="75"/>
      <c r="N656" s="75"/>
      <c r="O656" s="75"/>
      <c r="P656" s="75"/>
      <c r="Q656" s="75"/>
      <c r="R656" s="75"/>
      <c r="S656" s="75"/>
      <c r="T656" s="75"/>
      <c r="U656" s="75"/>
      <c r="V656" s="75"/>
      <c r="W656" s="75"/>
      <c r="X656" s="75"/>
      <c r="Y656" s="75"/>
      <c r="Z656" s="75"/>
      <c r="AA656" s="75"/>
    </row>
    <row r="657" spans="1:27" s="126" customFormat="1">
      <c r="A657" s="76"/>
      <c r="B657" s="76"/>
      <c r="C657" s="75"/>
      <c r="D657" s="575"/>
      <c r="E657" s="75"/>
      <c r="F657" s="613"/>
      <c r="G657" s="739"/>
      <c r="H657" s="75"/>
      <c r="I657" s="75"/>
      <c r="J657" s="75"/>
      <c r="K657" s="75"/>
      <c r="L657" s="75"/>
      <c r="M657" s="75"/>
      <c r="N657" s="75"/>
      <c r="O657" s="75"/>
      <c r="P657" s="75"/>
      <c r="Q657" s="75"/>
      <c r="R657" s="75"/>
      <c r="S657" s="75"/>
      <c r="T657" s="75"/>
      <c r="U657" s="75"/>
      <c r="V657" s="75"/>
      <c r="W657" s="75"/>
      <c r="X657" s="75"/>
      <c r="Y657" s="75"/>
      <c r="Z657" s="75"/>
      <c r="AA657" s="75"/>
    </row>
    <row r="658" spans="1:27" s="126" customFormat="1">
      <c r="A658" s="76"/>
      <c r="B658" s="76"/>
      <c r="C658" s="75"/>
      <c r="D658" s="575"/>
      <c r="E658" s="75"/>
      <c r="F658" s="613"/>
      <c r="G658" s="739"/>
      <c r="H658" s="75"/>
      <c r="I658" s="75"/>
      <c r="J658" s="75"/>
      <c r="K658" s="75"/>
      <c r="L658" s="75"/>
      <c r="M658" s="75"/>
      <c r="N658" s="75"/>
      <c r="O658" s="75"/>
      <c r="P658" s="75"/>
      <c r="Q658" s="75"/>
      <c r="R658" s="75"/>
      <c r="S658" s="75"/>
      <c r="T658" s="75"/>
      <c r="U658" s="75"/>
      <c r="V658" s="75"/>
      <c r="W658" s="75"/>
      <c r="X658" s="75"/>
      <c r="Y658" s="75"/>
      <c r="Z658" s="75"/>
      <c r="AA658" s="75"/>
    </row>
    <row r="659" spans="1:27" s="126" customFormat="1">
      <c r="A659" s="76"/>
      <c r="B659" s="76"/>
      <c r="C659" s="75"/>
      <c r="D659" s="575"/>
      <c r="E659" s="75"/>
      <c r="F659" s="613"/>
      <c r="G659" s="739"/>
      <c r="H659" s="75"/>
      <c r="I659" s="75"/>
      <c r="J659" s="75"/>
      <c r="K659" s="75"/>
      <c r="L659" s="75"/>
      <c r="M659" s="75"/>
      <c r="N659" s="75"/>
      <c r="O659" s="75"/>
      <c r="P659" s="75"/>
      <c r="Q659" s="75"/>
      <c r="R659" s="75"/>
      <c r="S659" s="75"/>
      <c r="T659" s="75"/>
      <c r="U659" s="75"/>
      <c r="V659" s="75"/>
      <c r="W659" s="75"/>
      <c r="X659" s="75"/>
      <c r="Y659" s="75"/>
      <c r="Z659" s="75"/>
      <c r="AA659" s="75"/>
    </row>
    <row r="660" spans="1:27" s="126" customFormat="1">
      <c r="A660" s="76"/>
      <c r="B660" s="76"/>
      <c r="C660" s="75"/>
      <c r="D660" s="575"/>
      <c r="E660" s="75"/>
      <c r="F660" s="613"/>
      <c r="G660" s="739"/>
      <c r="H660" s="75"/>
      <c r="I660" s="75"/>
      <c r="J660" s="75"/>
      <c r="K660" s="75"/>
      <c r="L660" s="75"/>
      <c r="M660" s="75"/>
      <c r="N660" s="75"/>
      <c r="O660" s="75"/>
      <c r="P660" s="75"/>
      <c r="Q660" s="75"/>
      <c r="R660" s="75"/>
      <c r="S660" s="75"/>
      <c r="T660" s="75"/>
      <c r="U660" s="75"/>
      <c r="V660" s="75"/>
      <c r="W660" s="75"/>
      <c r="X660" s="75"/>
      <c r="Y660" s="75"/>
      <c r="Z660" s="75"/>
      <c r="AA660" s="75"/>
    </row>
    <row r="661" spans="1:27" s="126" customFormat="1">
      <c r="A661" s="76"/>
      <c r="B661" s="76"/>
      <c r="C661" s="75"/>
      <c r="D661" s="575"/>
      <c r="E661" s="75"/>
      <c r="F661" s="613"/>
      <c r="G661" s="739"/>
      <c r="H661" s="75"/>
      <c r="I661" s="75"/>
      <c r="J661" s="75"/>
      <c r="K661" s="75"/>
      <c r="L661" s="75"/>
      <c r="M661" s="75"/>
      <c r="N661" s="75"/>
      <c r="O661" s="75"/>
      <c r="P661" s="75"/>
      <c r="Q661" s="75"/>
      <c r="R661" s="75"/>
      <c r="S661" s="75"/>
      <c r="T661" s="75"/>
      <c r="U661" s="75"/>
      <c r="V661" s="75"/>
      <c r="W661" s="75"/>
      <c r="X661" s="75"/>
      <c r="Y661" s="75"/>
      <c r="Z661" s="75"/>
      <c r="AA661" s="75"/>
    </row>
    <row r="662" spans="1:27" s="126" customFormat="1">
      <c r="A662" s="76"/>
      <c r="B662" s="76"/>
      <c r="C662" s="75"/>
      <c r="D662" s="575"/>
      <c r="E662" s="75"/>
      <c r="F662" s="613"/>
      <c r="G662" s="739"/>
      <c r="H662" s="75"/>
      <c r="I662" s="75"/>
      <c r="J662" s="75"/>
      <c r="K662" s="75"/>
      <c r="L662" s="75"/>
      <c r="M662" s="75"/>
      <c r="N662" s="75"/>
      <c r="O662" s="75"/>
      <c r="P662" s="75"/>
      <c r="Q662" s="75"/>
      <c r="R662" s="75"/>
      <c r="S662" s="75"/>
      <c r="T662" s="75"/>
      <c r="U662" s="75"/>
      <c r="V662" s="75"/>
      <c r="W662" s="75"/>
      <c r="X662" s="75"/>
      <c r="Y662" s="75"/>
      <c r="Z662" s="75"/>
      <c r="AA662" s="75"/>
    </row>
    <row r="663" spans="1:27" s="126" customFormat="1">
      <c r="A663" s="76"/>
      <c r="B663" s="76"/>
      <c r="C663" s="75"/>
      <c r="D663" s="575"/>
      <c r="E663" s="75"/>
      <c r="F663" s="613"/>
      <c r="G663" s="739"/>
      <c r="H663" s="75"/>
      <c r="I663" s="75"/>
      <c r="J663" s="75"/>
      <c r="K663" s="75"/>
      <c r="L663" s="75"/>
      <c r="M663" s="75"/>
      <c r="N663" s="75"/>
      <c r="O663" s="75"/>
      <c r="P663" s="75"/>
      <c r="Q663" s="75"/>
      <c r="R663" s="75"/>
      <c r="S663" s="75"/>
      <c r="T663" s="75"/>
      <c r="U663" s="75"/>
      <c r="V663" s="75"/>
      <c r="W663" s="75"/>
      <c r="X663" s="75"/>
      <c r="Y663" s="75"/>
      <c r="Z663" s="75"/>
      <c r="AA663" s="75"/>
    </row>
    <row r="664" spans="1:27" s="126" customFormat="1">
      <c r="A664" s="76"/>
      <c r="B664" s="76"/>
      <c r="C664" s="75"/>
      <c r="D664" s="575"/>
      <c r="E664" s="75"/>
      <c r="F664" s="613"/>
      <c r="G664" s="739"/>
      <c r="H664" s="75"/>
      <c r="I664" s="75"/>
      <c r="J664" s="75"/>
      <c r="K664" s="75"/>
      <c r="L664" s="75"/>
      <c r="M664" s="75"/>
      <c r="N664" s="75"/>
      <c r="O664" s="75"/>
      <c r="P664" s="75"/>
      <c r="Q664" s="75"/>
      <c r="R664" s="75"/>
      <c r="S664" s="75"/>
      <c r="T664" s="75"/>
      <c r="U664" s="75"/>
      <c r="V664" s="75"/>
      <c r="W664" s="75"/>
      <c r="X664" s="75"/>
      <c r="Y664" s="75"/>
      <c r="Z664" s="75"/>
      <c r="AA664" s="75"/>
    </row>
    <row r="665" spans="1:27" s="126" customFormat="1">
      <c r="A665" s="76"/>
      <c r="B665" s="76"/>
      <c r="C665" s="75"/>
      <c r="D665" s="575"/>
      <c r="E665" s="75"/>
      <c r="F665" s="613"/>
      <c r="G665" s="739"/>
      <c r="H665" s="75"/>
      <c r="I665" s="75"/>
      <c r="J665" s="75"/>
      <c r="K665" s="75"/>
      <c r="L665" s="75"/>
      <c r="M665" s="75"/>
      <c r="N665" s="75"/>
      <c r="O665" s="75"/>
      <c r="P665" s="75"/>
      <c r="Q665" s="75"/>
      <c r="R665" s="75"/>
      <c r="S665" s="75"/>
      <c r="T665" s="75"/>
      <c r="U665" s="75"/>
      <c r="V665" s="75"/>
      <c r="W665" s="75"/>
      <c r="X665" s="75"/>
      <c r="Y665" s="75"/>
      <c r="Z665" s="75"/>
      <c r="AA665" s="75"/>
    </row>
    <row r="666" spans="1:27" s="126" customFormat="1">
      <c r="A666" s="76"/>
      <c r="B666" s="76"/>
      <c r="C666" s="75"/>
      <c r="D666" s="575"/>
      <c r="E666" s="75"/>
      <c r="F666" s="613"/>
      <c r="G666" s="739"/>
      <c r="H666" s="75"/>
      <c r="I666" s="75"/>
      <c r="J666" s="75"/>
      <c r="K666" s="75"/>
      <c r="L666" s="75"/>
      <c r="M666" s="75"/>
      <c r="N666" s="75"/>
      <c r="O666" s="75"/>
      <c r="P666" s="75"/>
      <c r="Q666" s="75"/>
      <c r="R666" s="75"/>
      <c r="S666" s="75"/>
      <c r="T666" s="75"/>
      <c r="U666" s="75"/>
      <c r="V666" s="75"/>
      <c r="W666" s="75"/>
      <c r="X666" s="75"/>
      <c r="Y666" s="75"/>
      <c r="Z666" s="75"/>
      <c r="AA666" s="75"/>
    </row>
    <row r="667" spans="1:27" s="126" customFormat="1">
      <c r="A667" s="76"/>
      <c r="B667" s="76"/>
      <c r="C667" s="75"/>
      <c r="D667" s="575"/>
      <c r="E667" s="75"/>
      <c r="F667" s="613"/>
      <c r="G667" s="739"/>
      <c r="H667" s="75"/>
      <c r="I667" s="75"/>
      <c r="J667" s="75"/>
      <c r="K667" s="75"/>
      <c r="L667" s="75"/>
      <c r="M667" s="75"/>
      <c r="N667" s="75"/>
      <c r="O667" s="75"/>
      <c r="P667" s="75"/>
      <c r="Q667" s="75"/>
      <c r="R667" s="75"/>
      <c r="S667" s="75"/>
      <c r="T667" s="75"/>
      <c r="U667" s="75"/>
      <c r="V667" s="75"/>
      <c r="W667" s="75"/>
      <c r="X667" s="75"/>
      <c r="Y667" s="75"/>
      <c r="Z667" s="75"/>
      <c r="AA667" s="75"/>
    </row>
    <row r="668" spans="1:27" s="126" customFormat="1">
      <c r="A668" s="76"/>
      <c r="B668" s="76"/>
      <c r="C668" s="75"/>
      <c r="D668" s="575"/>
      <c r="E668" s="75"/>
      <c r="F668" s="613"/>
      <c r="G668" s="739"/>
      <c r="H668" s="75"/>
      <c r="I668" s="75"/>
      <c r="J668" s="75"/>
      <c r="K668" s="75"/>
      <c r="L668" s="75"/>
      <c r="M668" s="75"/>
      <c r="N668" s="75"/>
      <c r="O668" s="75"/>
      <c r="P668" s="75"/>
      <c r="Q668" s="75"/>
      <c r="R668" s="75"/>
      <c r="S668" s="75"/>
      <c r="T668" s="75"/>
      <c r="U668" s="75"/>
      <c r="V668" s="75"/>
      <c r="W668" s="75"/>
      <c r="X668" s="75"/>
      <c r="Y668" s="75"/>
      <c r="Z668" s="75"/>
      <c r="AA668" s="75"/>
    </row>
    <row r="669" spans="1:27" s="126" customFormat="1">
      <c r="A669" s="76"/>
      <c r="B669" s="76"/>
      <c r="C669" s="75"/>
      <c r="D669" s="575"/>
      <c r="E669" s="75"/>
      <c r="F669" s="613"/>
      <c r="G669" s="739"/>
      <c r="H669" s="75"/>
      <c r="I669" s="75"/>
      <c r="J669" s="75"/>
      <c r="K669" s="75"/>
      <c r="L669" s="75"/>
      <c r="M669" s="75"/>
      <c r="N669" s="75"/>
      <c r="O669" s="75"/>
      <c r="P669" s="75"/>
      <c r="Q669" s="75"/>
      <c r="R669" s="75"/>
      <c r="S669" s="75"/>
      <c r="T669" s="75"/>
      <c r="U669" s="75"/>
      <c r="V669" s="75"/>
      <c r="W669" s="75"/>
      <c r="X669" s="75"/>
      <c r="Y669" s="75"/>
      <c r="Z669" s="75"/>
      <c r="AA669" s="75"/>
    </row>
    <row r="670" spans="1:27" s="126" customFormat="1">
      <c r="A670" s="76"/>
      <c r="B670" s="76"/>
      <c r="C670" s="75"/>
      <c r="D670" s="575"/>
      <c r="E670" s="75"/>
      <c r="F670" s="613"/>
      <c r="G670" s="739"/>
      <c r="H670" s="75"/>
      <c r="I670" s="75"/>
      <c r="J670" s="75"/>
      <c r="K670" s="75"/>
      <c r="L670" s="75"/>
      <c r="M670" s="75"/>
      <c r="N670" s="75"/>
      <c r="O670" s="75"/>
      <c r="P670" s="75"/>
      <c r="Q670" s="75"/>
      <c r="R670" s="75"/>
      <c r="S670" s="75"/>
      <c r="T670" s="75"/>
      <c r="U670" s="75"/>
      <c r="V670" s="75"/>
      <c r="W670" s="75"/>
      <c r="X670" s="75"/>
      <c r="Y670" s="75"/>
      <c r="Z670" s="75"/>
      <c r="AA670" s="75"/>
    </row>
    <row r="671" spans="1:27" s="126" customFormat="1">
      <c r="A671" s="76"/>
      <c r="B671" s="76"/>
      <c r="C671" s="75"/>
      <c r="D671" s="575"/>
      <c r="E671" s="75"/>
      <c r="F671" s="613"/>
      <c r="G671" s="739"/>
      <c r="H671" s="75"/>
      <c r="I671" s="75"/>
      <c r="J671" s="75"/>
      <c r="K671" s="75"/>
      <c r="L671" s="75"/>
      <c r="M671" s="75"/>
      <c r="N671" s="75"/>
      <c r="O671" s="75"/>
      <c r="P671" s="75"/>
      <c r="Q671" s="75"/>
      <c r="R671" s="75"/>
      <c r="S671" s="75"/>
      <c r="T671" s="75"/>
      <c r="U671" s="75"/>
      <c r="V671" s="75"/>
      <c r="W671" s="75"/>
      <c r="X671" s="75"/>
      <c r="Y671" s="75"/>
      <c r="Z671" s="75"/>
      <c r="AA671" s="75"/>
    </row>
    <row r="672" spans="1:27" s="126" customFormat="1">
      <c r="A672" s="76"/>
      <c r="B672" s="76"/>
      <c r="C672" s="75"/>
      <c r="D672" s="575"/>
      <c r="E672" s="75"/>
      <c r="F672" s="613"/>
      <c r="G672" s="739"/>
      <c r="H672" s="75"/>
      <c r="I672" s="75"/>
      <c r="J672" s="75"/>
      <c r="K672" s="75"/>
      <c r="L672" s="75"/>
      <c r="M672" s="75"/>
      <c r="N672" s="75"/>
      <c r="O672" s="75"/>
      <c r="P672" s="75"/>
      <c r="Q672" s="75"/>
      <c r="R672" s="75"/>
      <c r="S672" s="75"/>
      <c r="T672" s="75"/>
      <c r="U672" s="75"/>
      <c r="V672" s="75"/>
      <c r="W672" s="75"/>
      <c r="X672" s="75"/>
      <c r="Y672" s="75"/>
      <c r="Z672" s="75"/>
      <c r="AA672" s="75"/>
    </row>
    <row r="673" spans="1:27" s="126" customFormat="1">
      <c r="A673" s="76"/>
      <c r="B673" s="76"/>
      <c r="C673" s="75"/>
      <c r="D673" s="575"/>
      <c r="E673" s="75"/>
      <c r="F673" s="613"/>
      <c r="G673" s="739"/>
      <c r="H673" s="75"/>
      <c r="I673" s="75"/>
      <c r="J673" s="75"/>
      <c r="K673" s="75"/>
      <c r="L673" s="75"/>
      <c r="M673" s="75"/>
      <c r="N673" s="75"/>
      <c r="O673" s="75"/>
      <c r="P673" s="75"/>
      <c r="Q673" s="75"/>
      <c r="R673" s="75"/>
      <c r="S673" s="75"/>
      <c r="T673" s="75"/>
      <c r="U673" s="75"/>
      <c r="V673" s="75"/>
      <c r="W673" s="75"/>
      <c r="X673" s="75"/>
      <c r="Y673" s="75"/>
      <c r="Z673" s="75"/>
      <c r="AA673" s="75"/>
    </row>
    <row r="674" spans="1:27" s="126" customFormat="1">
      <c r="A674" s="76"/>
      <c r="B674" s="76"/>
      <c r="C674" s="75"/>
      <c r="D674" s="575"/>
      <c r="E674" s="75"/>
      <c r="F674" s="613"/>
      <c r="G674" s="739"/>
      <c r="H674" s="75"/>
      <c r="I674" s="75"/>
      <c r="J674" s="75"/>
      <c r="K674" s="75"/>
      <c r="L674" s="75"/>
      <c r="M674" s="75"/>
      <c r="N674" s="75"/>
      <c r="O674" s="75"/>
      <c r="P674" s="75"/>
      <c r="Q674" s="75"/>
      <c r="R674" s="75"/>
      <c r="S674" s="75"/>
      <c r="T674" s="75"/>
      <c r="U674" s="75"/>
      <c r="V674" s="75"/>
      <c r="W674" s="75"/>
      <c r="X674" s="75"/>
      <c r="Y674" s="75"/>
      <c r="Z674" s="75"/>
      <c r="AA674" s="75"/>
    </row>
    <row r="675" spans="1:27" s="126" customFormat="1">
      <c r="A675" s="76"/>
      <c r="B675" s="76"/>
      <c r="C675" s="75"/>
      <c r="D675" s="575"/>
      <c r="E675" s="75"/>
      <c r="F675" s="613"/>
      <c r="G675" s="739"/>
      <c r="H675" s="75"/>
      <c r="I675" s="75"/>
      <c r="J675" s="75"/>
      <c r="K675" s="75"/>
      <c r="L675" s="75"/>
      <c r="M675" s="75"/>
      <c r="N675" s="75"/>
      <c r="O675" s="75"/>
      <c r="P675" s="75"/>
      <c r="Q675" s="75"/>
      <c r="R675" s="75"/>
      <c r="S675" s="75"/>
      <c r="T675" s="75"/>
      <c r="U675" s="75"/>
      <c r="V675" s="75"/>
      <c r="W675" s="75"/>
      <c r="X675" s="75"/>
      <c r="Y675" s="75"/>
      <c r="Z675" s="75"/>
      <c r="AA675" s="75"/>
    </row>
    <row r="676" spans="1:27" s="126" customFormat="1">
      <c r="A676" s="76"/>
      <c r="B676" s="76"/>
      <c r="C676" s="75"/>
      <c r="D676" s="575"/>
      <c r="E676" s="75"/>
      <c r="F676" s="613"/>
      <c r="G676" s="739"/>
      <c r="H676" s="75"/>
      <c r="I676" s="75"/>
      <c r="J676" s="75"/>
      <c r="K676" s="75"/>
      <c r="L676" s="75"/>
      <c r="M676" s="75"/>
      <c r="N676" s="75"/>
      <c r="O676" s="75"/>
      <c r="P676" s="75"/>
      <c r="Q676" s="75"/>
      <c r="R676" s="75"/>
      <c r="S676" s="75"/>
      <c r="T676" s="75"/>
      <c r="U676" s="75"/>
      <c r="V676" s="75"/>
      <c r="W676" s="75"/>
      <c r="X676" s="75"/>
      <c r="Y676" s="75"/>
      <c r="Z676" s="75"/>
      <c r="AA676" s="75"/>
    </row>
    <row r="677" spans="1:27" s="126" customFormat="1">
      <c r="A677" s="76"/>
      <c r="B677" s="76"/>
      <c r="C677" s="75"/>
      <c r="D677" s="575"/>
      <c r="E677" s="75"/>
      <c r="F677" s="613"/>
      <c r="G677" s="739"/>
      <c r="H677" s="75"/>
      <c r="I677" s="75"/>
      <c r="J677" s="75"/>
      <c r="K677" s="75"/>
      <c r="L677" s="75"/>
      <c r="M677" s="75"/>
      <c r="N677" s="75"/>
      <c r="O677" s="75"/>
      <c r="P677" s="75"/>
      <c r="Q677" s="75"/>
      <c r="R677" s="75"/>
      <c r="S677" s="75"/>
      <c r="T677" s="75"/>
      <c r="U677" s="75"/>
      <c r="V677" s="75"/>
      <c r="W677" s="75"/>
      <c r="X677" s="75"/>
      <c r="Y677" s="75"/>
      <c r="Z677" s="75"/>
      <c r="AA677" s="75"/>
    </row>
    <row r="678" spans="1:27" s="126" customFormat="1">
      <c r="A678" s="76"/>
      <c r="B678" s="76"/>
      <c r="C678" s="75"/>
      <c r="D678" s="575"/>
      <c r="E678" s="75"/>
      <c r="F678" s="613"/>
      <c r="G678" s="739"/>
      <c r="H678" s="75"/>
      <c r="I678" s="75"/>
      <c r="J678" s="75"/>
      <c r="K678" s="75"/>
      <c r="L678" s="75"/>
      <c r="M678" s="75"/>
      <c r="N678" s="75"/>
      <c r="O678" s="75"/>
      <c r="P678" s="75"/>
      <c r="Q678" s="75"/>
      <c r="R678" s="75"/>
      <c r="S678" s="75"/>
      <c r="T678" s="75"/>
      <c r="U678" s="75"/>
      <c r="V678" s="75"/>
      <c r="W678" s="75"/>
      <c r="X678" s="75"/>
      <c r="Y678" s="75"/>
      <c r="Z678" s="75"/>
      <c r="AA678" s="75"/>
    </row>
  </sheetData>
  <mergeCells count="2">
    <mergeCell ref="A8:I8"/>
    <mergeCell ref="A20:AB20"/>
  </mergeCells>
  <pageMargins left="0.70866141732283472" right="0.70866141732283472" top="0.74803149606299213" bottom="0.74803149606299213" header="0.31496062992125984" footer="0.31496062992125984"/>
  <pageSetup paperSize="9" scale="32" fitToHeight="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5"/>
  <sheetViews>
    <sheetView showGridLines="0" workbookViewId="0">
      <pane ySplit="2" topLeftCell="A75" activePane="bottomLeft" state="frozen"/>
      <selection activeCell="I101" sqref="I101"/>
      <selection pane="bottomLeft" activeCell="I114" sqref="I114"/>
    </sheetView>
  </sheetViews>
  <sheetFormatPr defaultColWidth="8.85546875" defaultRowHeight="12.75"/>
  <cols>
    <col min="1" max="4" width="4" style="740" bestFit="1" customWidth="1"/>
    <col min="5" max="5" width="3" style="740" bestFit="1" customWidth="1"/>
    <col min="6" max="6" width="3.42578125" style="740" customWidth="1"/>
    <col min="7" max="7" width="70.42578125" style="740" customWidth="1"/>
    <col min="8" max="8" width="17.5703125" style="820" customWidth="1"/>
    <col min="9" max="10" width="15.42578125" style="821" customWidth="1"/>
    <col min="11" max="11" width="5.5703125" style="740" customWidth="1"/>
    <col min="12" max="16384" width="8.85546875" style="740"/>
  </cols>
  <sheetData>
    <row r="1" spans="1:14" ht="21" customHeight="1" thickBot="1">
      <c r="A1" s="1046" t="s">
        <v>119</v>
      </c>
      <c r="B1" s="1047"/>
      <c r="C1" s="1047"/>
      <c r="D1" s="1047"/>
      <c r="E1" s="1047"/>
      <c r="F1" s="1048"/>
      <c r="G1" s="1049" t="s">
        <v>4333</v>
      </c>
      <c r="H1" s="1051" t="s">
        <v>4334</v>
      </c>
      <c r="I1" s="1053" t="s">
        <v>4877</v>
      </c>
      <c r="J1" s="1053" t="s">
        <v>4865</v>
      </c>
    </row>
    <row r="2" spans="1:14" s="40" customFormat="1" ht="27.6" customHeight="1" thickBot="1">
      <c r="A2" s="211" t="s">
        <v>122</v>
      </c>
      <c r="B2" s="211" t="s">
        <v>123</v>
      </c>
      <c r="C2" s="211" t="s">
        <v>124</v>
      </c>
      <c r="D2" s="211" t="s">
        <v>125</v>
      </c>
      <c r="E2" s="211" t="s">
        <v>126</v>
      </c>
      <c r="F2" s="211" t="s">
        <v>127</v>
      </c>
      <c r="G2" s="1050"/>
      <c r="H2" s="1052"/>
      <c r="I2" s="1054"/>
      <c r="J2" s="1054"/>
    </row>
    <row r="3" spans="1:14" s="747" customFormat="1">
      <c r="A3" s="741">
        <v>10</v>
      </c>
      <c r="B3" s="742">
        <v>0</v>
      </c>
      <c r="C3" s="742">
        <v>0</v>
      </c>
      <c r="D3" s="742">
        <v>0</v>
      </c>
      <c r="E3" s="742">
        <v>0</v>
      </c>
      <c r="F3" s="743">
        <v>0</v>
      </c>
      <c r="G3" s="744" t="s">
        <v>4335</v>
      </c>
      <c r="H3" s="745"/>
      <c r="I3" s="746"/>
      <c r="J3" s="746"/>
      <c r="N3" s="748"/>
    </row>
    <row r="4" spans="1:14" s="40" customFormat="1">
      <c r="A4" s="749">
        <v>10</v>
      </c>
      <c r="B4" s="750">
        <v>100</v>
      </c>
      <c r="C4" s="750"/>
      <c r="D4" s="750"/>
      <c r="E4" s="750"/>
      <c r="F4" s="751"/>
      <c r="G4" s="752" t="s">
        <v>4336</v>
      </c>
      <c r="H4" s="753" t="s">
        <v>3704</v>
      </c>
      <c r="I4" s="754"/>
      <c r="J4" s="754"/>
    </row>
    <row r="5" spans="1:14" s="40" customFormat="1">
      <c r="A5" s="749">
        <v>10</v>
      </c>
      <c r="B5" s="750">
        <v>200</v>
      </c>
      <c r="C5" s="750"/>
      <c r="D5" s="750"/>
      <c r="E5" s="750"/>
      <c r="F5" s="751"/>
      <c r="G5" s="752" t="s">
        <v>4337</v>
      </c>
      <c r="H5" s="753" t="s">
        <v>3710</v>
      </c>
      <c r="I5" s="754"/>
      <c r="J5" s="754"/>
    </row>
    <row r="6" spans="1:14" s="40" customFormat="1">
      <c r="A6" s="749">
        <v>10</v>
      </c>
      <c r="B6" s="755">
        <v>300</v>
      </c>
      <c r="C6" s="755"/>
      <c r="D6" s="755"/>
      <c r="E6" s="755"/>
      <c r="F6" s="756"/>
      <c r="G6" s="757" t="s">
        <v>4338</v>
      </c>
      <c r="H6" s="753"/>
      <c r="I6" s="758"/>
      <c r="J6" s="758"/>
    </row>
    <row r="7" spans="1:14" s="40" customFormat="1" ht="25.5">
      <c r="A7" s="749">
        <v>10</v>
      </c>
      <c r="B7" s="755">
        <v>300</v>
      </c>
      <c r="C7" s="750">
        <v>100</v>
      </c>
      <c r="D7" s="750"/>
      <c r="E7" s="750"/>
      <c r="F7" s="751"/>
      <c r="G7" s="752" t="s">
        <v>4339</v>
      </c>
      <c r="H7" s="753" t="s">
        <v>3716</v>
      </c>
      <c r="I7" s="754"/>
      <c r="J7" s="754"/>
    </row>
    <row r="8" spans="1:14" s="40" customFormat="1">
      <c r="A8" s="749">
        <v>10</v>
      </c>
      <c r="B8" s="755">
        <v>300</v>
      </c>
      <c r="C8" s="750">
        <v>200</v>
      </c>
      <c r="D8" s="750"/>
      <c r="E8" s="750"/>
      <c r="F8" s="751"/>
      <c r="G8" s="752" t="s">
        <v>4340</v>
      </c>
      <c r="H8" s="753" t="s">
        <v>3720</v>
      </c>
      <c r="I8" s="754"/>
      <c r="J8" s="754"/>
    </row>
    <row r="9" spans="1:14" s="40" customFormat="1">
      <c r="A9" s="749">
        <v>10</v>
      </c>
      <c r="B9" s="750">
        <v>400</v>
      </c>
      <c r="C9" s="750"/>
      <c r="D9" s="750"/>
      <c r="E9" s="750"/>
      <c r="F9" s="751"/>
      <c r="G9" s="752" t="s">
        <v>3531</v>
      </c>
      <c r="H9" s="753" t="s">
        <v>3724</v>
      </c>
      <c r="I9" s="754"/>
      <c r="J9" s="754"/>
    </row>
    <row r="10" spans="1:14" s="40" customFormat="1">
      <c r="A10" s="749">
        <v>10</v>
      </c>
      <c r="B10" s="755">
        <v>500</v>
      </c>
      <c r="C10" s="755"/>
      <c r="D10" s="755"/>
      <c r="E10" s="755"/>
      <c r="F10" s="756"/>
      <c r="G10" s="757" t="s">
        <v>3533</v>
      </c>
      <c r="H10" s="753"/>
      <c r="I10" s="758"/>
      <c r="J10" s="758"/>
    </row>
    <row r="11" spans="1:14" s="40" customFormat="1">
      <c r="A11" s="749">
        <v>10</v>
      </c>
      <c r="B11" s="755">
        <v>500</v>
      </c>
      <c r="C11" s="750">
        <v>100</v>
      </c>
      <c r="D11" s="750"/>
      <c r="E11" s="750"/>
      <c r="F11" s="751"/>
      <c r="G11" s="752" t="s">
        <v>4341</v>
      </c>
      <c r="H11" s="753" t="s">
        <v>3728</v>
      </c>
      <c r="I11" s="368">
        <v>301098.38</v>
      </c>
      <c r="J11" s="368">
        <v>301098</v>
      </c>
    </row>
    <row r="12" spans="1:14" s="40" customFormat="1">
      <c r="A12" s="749">
        <v>10</v>
      </c>
      <c r="B12" s="755">
        <v>500</v>
      </c>
      <c r="C12" s="750">
        <v>200</v>
      </c>
      <c r="D12" s="750"/>
      <c r="E12" s="750"/>
      <c r="F12" s="751"/>
      <c r="G12" s="752" t="s">
        <v>4342</v>
      </c>
      <c r="H12" s="753" t="s">
        <v>3732</v>
      </c>
      <c r="I12" s="368">
        <v>39838.230000000003</v>
      </c>
      <c r="J12" s="368">
        <v>39838</v>
      </c>
    </row>
    <row r="13" spans="1:14" s="40" customFormat="1">
      <c r="A13" s="749">
        <v>10</v>
      </c>
      <c r="B13" s="755">
        <v>500</v>
      </c>
      <c r="C13" s="750">
        <v>300</v>
      </c>
      <c r="D13" s="750"/>
      <c r="E13" s="750"/>
      <c r="F13" s="751"/>
      <c r="G13" s="752" t="s">
        <v>4343</v>
      </c>
      <c r="H13" s="753" t="s">
        <v>3736</v>
      </c>
      <c r="I13" s="754"/>
      <c r="J13" s="754"/>
    </row>
    <row r="14" spans="1:14" s="40" customFormat="1">
      <c r="A14" s="749">
        <v>10</v>
      </c>
      <c r="B14" s="755">
        <v>500</v>
      </c>
      <c r="C14" s="750">
        <v>400</v>
      </c>
      <c r="D14" s="750"/>
      <c r="E14" s="750"/>
      <c r="F14" s="751"/>
      <c r="G14" s="752" t="s">
        <v>3533</v>
      </c>
      <c r="H14" s="753" t="s">
        <v>3740</v>
      </c>
      <c r="I14" s="754"/>
      <c r="J14" s="754"/>
    </row>
    <row r="15" spans="1:14" s="747" customFormat="1">
      <c r="A15" s="759">
        <v>20</v>
      </c>
      <c r="B15" s="760">
        <v>0</v>
      </c>
      <c r="C15" s="760">
        <v>0</v>
      </c>
      <c r="D15" s="760">
        <v>0</v>
      </c>
      <c r="E15" s="760">
        <v>0</v>
      </c>
      <c r="F15" s="761">
        <v>0</v>
      </c>
      <c r="G15" s="762" t="s">
        <v>4344</v>
      </c>
      <c r="H15" s="763"/>
      <c r="I15" s="764"/>
      <c r="J15" s="764"/>
    </row>
    <row r="16" spans="1:14" s="40" customFormat="1">
      <c r="A16" s="749">
        <v>20</v>
      </c>
      <c r="B16" s="765">
        <v>100</v>
      </c>
      <c r="C16" s="765"/>
      <c r="D16" s="765"/>
      <c r="E16" s="765"/>
      <c r="F16" s="766"/>
      <c r="G16" s="757" t="s">
        <v>3535</v>
      </c>
      <c r="H16" s="753"/>
      <c r="I16" s="758"/>
      <c r="J16" s="758"/>
    </row>
    <row r="17" spans="1:12" s="40" customFormat="1">
      <c r="A17" s="749">
        <v>20</v>
      </c>
      <c r="B17" s="765">
        <v>100</v>
      </c>
      <c r="C17" s="767">
        <v>100</v>
      </c>
      <c r="D17" s="767"/>
      <c r="E17" s="767"/>
      <c r="F17" s="768"/>
      <c r="G17" s="752" t="s">
        <v>3537</v>
      </c>
      <c r="H17" s="753" t="s">
        <v>3758</v>
      </c>
      <c r="I17" s="754"/>
      <c r="J17" s="754"/>
    </row>
    <row r="18" spans="1:12" s="40" customFormat="1">
      <c r="A18" s="749">
        <v>20</v>
      </c>
      <c r="B18" s="765">
        <v>100</v>
      </c>
      <c r="C18" s="767">
        <v>200</v>
      </c>
      <c r="D18" s="767"/>
      <c r="E18" s="767"/>
      <c r="F18" s="768"/>
      <c r="G18" s="752" t="s">
        <v>3539</v>
      </c>
      <c r="H18" s="753" t="s">
        <v>3760</v>
      </c>
      <c r="I18" s="754"/>
      <c r="J18" s="754"/>
    </row>
    <row r="19" spans="1:12" s="40" customFormat="1">
      <c r="A19" s="749">
        <v>20</v>
      </c>
      <c r="B19" s="765">
        <v>200</v>
      </c>
      <c r="C19" s="765"/>
      <c r="D19" s="765"/>
      <c r="E19" s="765"/>
      <c r="F19" s="766"/>
      <c r="G19" s="757" t="s">
        <v>3540</v>
      </c>
      <c r="H19" s="753"/>
      <c r="I19" s="758"/>
      <c r="J19" s="758"/>
    </row>
    <row r="20" spans="1:12" s="40" customFormat="1">
      <c r="A20" s="749">
        <v>20</v>
      </c>
      <c r="B20" s="765">
        <v>200</v>
      </c>
      <c r="C20" s="767">
        <v>100</v>
      </c>
      <c r="D20" s="767"/>
      <c r="E20" s="767"/>
      <c r="F20" s="768"/>
      <c r="G20" s="752" t="s">
        <v>3541</v>
      </c>
      <c r="H20" s="753" t="s">
        <v>3766</v>
      </c>
      <c r="I20" s="754">
        <v>2549652.89</v>
      </c>
      <c r="J20" s="754">
        <v>2540046</v>
      </c>
    </row>
    <row r="21" spans="1:12" s="40" customFormat="1">
      <c r="A21" s="749">
        <v>20</v>
      </c>
      <c r="B21" s="765">
        <v>200</v>
      </c>
      <c r="C21" s="767">
        <v>200</v>
      </c>
      <c r="D21" s="767"/>
      <c r="E21" s="767"/>
      <c r="F21" s="768"/>
      <c r="G21" s="752" t="s">
        <v>3542</v>
      </c>
      <c r="H21" s="753" t="s">
        <v>3772</v>
      </c>
      <c r="I21" s="754">
        <v>41727364.899999999</v>
      </c>
      <c r="J21" s="754">
        <v>40393736</v>
      </c>
    </row>
    <row r="22" spans="1:12" s="40" customFormat="1">
      <c r="A22" s="749">
        <v>20</v>
      </c>
      <c r="B22" s="750">
        <v>300</v>
      </c>
      <c r="C22" s="767"/>
      <c r="D22" s="767"/>
      <c r="E22" s="767"/>
      <c r="F22" s="768"/>
      <c r="G22" s="752" t="s">
        <v>3543</v>
      </c>
      <c r="H22" s="753" t="s">
        <v>3778</v>
      </c>
      <c r="I22" s="754">
        <v>3661123.06</v>
      </c>
      <c r="J22" s="754">
        <v>3662940</v>
      </c>
    </row>
    <row r="23" spans="1:12" s="40" customFormat="1">
      <c r="A23" s="749">
        <v>20</v>
      </c>
      <c r="B23" s="750">
        <v>400</v>
      </c>
      <c r="C23" s="767"/>
      <c r="D23" s="767"/>
      <c r="E23" s="767"/>
      <c r="F23" s="768"/>
      <c r="G23" s="752" t="s">
        <v>3544</v>
      </c>
      <c r="H23" s="753" t="s">
        <v>3784</v>
      </c>
      <c r="I23" s="754">
        <v>31673734.219999999</v>
      </c>
      <c r="J23" s="754">
        <v>30434295</v>
      </c>
    </row>
    <row r="24" spans="1:12" s="40" customFormat="1">
      <c r="A24" s="749">
        <v>20</v>
      </c>
      <c r="B24" s="750">
        <v>500</v>
      </c>
      <c r="C24" s="750"/>
      <c r="D24" s="750"/>
      <c r="E24" s="750"/>
      <c r="F24" s="751"/>
      <c r="G24" s="752" t="s">
        <v>3545</v>
      </c>
      <c r="H24" s="753" t="s">
        <v>3790</v>
      </c>
      <c r="I24" s="754">
        <v>2861623.33</v>
      </c>
      <c r="J24" s="754">
        <v>2820446</v>
      </c>
    </row>
    <row r="25" spans="1:12" s="40" customFormat="1">
      <c r="A25" s="749">
        <v>20</v>
      </c>
      <c r="B25" s="750">
        <v>600</v>
      </c>
      <c r="C25" s="750"/>
      <c r="D25" s="750"/>
      <c r="E25" s="750"/>
      <c r="F25" s="751"/>
      <c r="G25" s="752" t="s">
        <v>3547</v>
      </c>
      <c r="H25" s="753" t="s">
        <v>3796</v>
      </c>
      <c r="I25" s="754">
        <v>134087.79999999999</v>
      </c>
      <c r="J25" s="754">
        <v>134088</v>
      </c>
    </row>
    <row r="26" spans="1:12" s="40" customFormat="1">
      <c r="A26" s="749">
        <v>20</v>
      </c>
      <c r="B26" s="750">
        <v>700</v>
      </c>
      <c r="C26" s="750"/>
      <c r="D26" s="750"/>
      <c r="E26" s="750"/>
      <c r="F26" s="751"/>
      <c r="G26" s="752" t="s">
        <v>3549</v>
      </c>
      <c r="H26" s="753" t="s">
        <v>3800</v>
      </c>
      <c r="I26" s="754"/>
      <c r="J26" s="754"/>
    </row>
    <row r="27" spans="1:12" s="40" customFormat="1">
      <c r="A27" s="749">
        <v>20</v>
      </c>
      <c r="B27" s="750">
        <v>800</v>
      </c>
      <c r="C27" s="755"/>
      <c r="D27" s="755"/>
      <c r="E27" s="755"/>
      <c r="F27" s="756"/>
      <c r="G27" s="752" t="s">
        <v>3551</v>
      </c>
      <c r="H27" s="753" t="s">
        <v>3804</v>
      </c>
      <c r="I27" s="754">
        <v>6057076.4400000004</v>
      </c>
      <c r="J27" s="754">
        <v>5885379</v>
      </c>
    </row>
    <row r="28" spans="1:12" s="40" customFormat="1">
      <c r="A28" s="769">
        <v>20</v>
      </c>
      <c r="B28" s="765">
        <v>900</v>
      </c>
      <c r="C28" s="767"/>
      <c r="D28" s="767"/>
      <c r="E28" s="767"/>
      <c r="F28" s="768"/>
      <c r="G28" s="770" t="s">
        <v>3553</v>
      </c>
      <c r="H28" s="771" t="s">
        <v>3808</v>
      </c>
      <c r="I28" s="754">
        <v>2636211.14</v>
      </c>
      <c r="J28" s="754">
        <v>1514302</v>
      </c>
    </row>
    <row r="29" spans="1:12" s="747" customFormat="1">
      <c r="A29" s="772">
        <v>30</v>
      </c>
      <c r="B29" s="773">
        <v>0</v>
      </c>
      <c r="C29" s="773">
        <v>0</v>
      </c>
      <c r="D29" s="773">
        <v>0</v>
      </c>
      <c r="E29" s="773">
        <v>0</v>
      </c>
      <c r="F29" s="774">
        <v>0</v>
      </c>
      <c r="G29" s="775" t="s">
        <v>4345</v>
      </c>
      <c r="H29" s="776"/>
      <c r="I29" s="777"/>
      <c r="J29" s="777"/>
    </row>
    <row r="30" spans="1:12" s="40" customFormat="1">
      <c r="A30" s="749">
        <v>30</v>
      </c>
      <c r="B30" s="755">
        <v>100</v>
      </c>
      <c r="C30" s="755"/>
      <c r="D30" s="755"/>
      <c r="E30" s="755"/>
      <c r="F30" s="756"/>
      <c r="G30" s="757" t="s">
        <v>3557</v>
      </c>
      <c r="H30" s="753"/>
      <c r="I30" s="758"/>
      <c r="J30" s="758"/>
      <c r="L30" s="778"/>
    </row>
    <row r="31" spans="1:12" s="40" customFormat="1">
      <c r="A31" s="749">
        <v>30</v>
      </c>
      <c r="B31" s="755">
        <v>100</v>
      </c>
      <c r="C31" s="750">
        <v>100</v>
      </c>
      <c r="D31" s="750"/>
      <c r="E31" s="750"/>
      <c r="F31" s="751"/>
      <c r="G31" s="752" t="s">
        <v>3558</v>
      </c>
      <c r="H31" s="753" t="s">
        <v>3832</v>
      </c>
      <c r="I31" s="754"/>
      <c r="J31" s="754"/>
    </row>
    <row r="32" spans="1:12" s="40" customFormat="1">
      <c r="A32" s="749">
        <v>30</v>
      </c>
      <c r="B32" s="755">
        <v>100</v>
      </c>
      <c r="C32" s="750">
        <v>200</v>
      </c>
      <c r="D32" s="750"/>
      <c r="E32" s="750"/>
      <c r="F32" s="751"/>
      <c r="G32" s="752" t="s">
        <v>3559</v>
      </c>
      <c r="H32" s="753" t="s">
        <v>3834</v>
      </c>
      <c r="I32" s="754"/>
      <c r="J32" s="754"/>
    </row>
    <row r="33" spans="1:10" s="40" customFormat="1">
      <c r="A33" s="749">
        <v>30</v>
      </c>
      <c r="B33" s="755">
        <v>100</v>
      </c>
      <c r="C33" s="750">
        <v>300</v>
      </c>
      <c r="D33" s="750"/>
      <c r="E33" s="750"/>
      <c r="F33" s="751"/>
      <c r="G33" s="752" t="s">
        <v>3561</v>
      </c>
      <c r="H33" s="753" t="s">
        <v>3836</v>
      </c>
      <c r="I33" s="754"/>
      <c r="J33" s="754"/>
    </row>
    <row r="34" spans="1:10" s="40" customFormat="1">
      <c r="A34" s="749">
        <v>30</v>
      </c>
      <c r="B34" s="755">
        <v>100</v>
      </c>
      <c r="C34" s="755">
        <v>400</v>
      </c>
      <c r="D34" s="755"/>
      <c r="E34" s="755"/>
      <c r="F34" s="756"/>
      <c r="G34" s="757" t="s">
        <v>3563</v>
      </c>
      <c r="H34" s="753" t="s">
        <v>3838</v>
      </c>
      <c r="I34" s="758"/>
      <c r="J34" s="758"/>
    </row>
    <row r="35" spans="1:10" s="40" customFormat="1">
      <c r="A35" s="749">
        <v>30</v>
      </c>
      <c r="B35" s="755">
        <v>100</v>
      </c>
      <c r="C35" s="755">
        <v>400</v>
      </c>
      <c r="D35" s="750">
        <v>100</v>
      </c>
      <c r="E35" s="750"/>
      <c r="F35" s="751"/>
      <c r="G35" s="779" t="s">
        <v>4346</v>
      </c>
      <c r="H35" s="753"/>
      <c r="I35" s="754"/>
      <c r="J35" s="754"/>
    </row>
    <row r="36" spans="1:10" s="40" customFormat="1">
      <c r="A36" s="749">
        <v>30</v>
      </c>
      <c r="B36" s="755">
        <v>100</v>
      </c>
      <c r="C36" s="755">
        <v>400</v>
      </c>
      <c r="D36" s="750">
        <v>200</v>
      </c>
      <c r="E36" s="750"/>
      <c r="F36" s="751"/>
      <c r="G36" s="779" t="s">
        <v>4347</v>
      </c>
      <c r="H36" s="753"/>
      <c r="I36" s="754"/>
      <c r="J36" s="754"/>
    </row>
    <row r="37" spans="1:10" s="40" customFormat="1">
      <c r="A37" s="749">
        <v>30</v>
      </c>
      <c r="B37" s="755">
        <v>100</v>
      </c>
      <c r="C37" s="755">
        <v>400</v>
      </c>
      <c r="D37" s="750">
        <v>300</v>
      </c>
      <c r="E37" s="750"/>
      <c r="F37" s="751"/>
      <c r="G37" s="779" t="s">
        <v>4348</v>
      </c>
      <c r="H37" s="753"/>
      <c r="I37" s="754">
        <v>63464</v>
      </c>
      <c r="J37" s="754">
        <v>177095</v>
      </c>
    </row>
    <row r="38" spans="1:10" s="40" customFormat="1">
      <c r="A38" s="749">
        <v>30</v>
      </c>
      <c r="B38" s="755">
        <v>200</v>
      </c>
      <c r="C38" s="755"/>
      <c r="D38" s="755"/>
      <c r="E38" s="755"/>
      <c r="F38" s="756"/>
      <c r="G38" s="757" t="s">
        <v>3564</v>
      </c>
      <c r="H38" s="753"/>
      <c r="I38" s="758"/>
      <c r="J38" s="758"/>
    </row>
    <row r="39" spans="1:10" s="40" customFormat="1">
      <c r="A39" s="749">
        <v>30</v>
      </c>
      <c r="B39" s="755">
        <v>200</v>
      </c>
      <c r="C39" s="750">
        <v>100</v>
      </c>
      <c r="D39" s="750"/>
      <c r="E39" s="750"/>
      <c r="F39" s="751"/>
      <c r="G39" s="752" t="s">
        <v>3565</v>
      </c>
      <c r="H39" s="753" t="s">
        <v>3842</v>
      </c>
      <c r="I39" s="754">
        <v>5000</v>
      </c>
      <c r="J39" s="754">
        <v>5000</v>
      </c>
    </row>
    <row r="40" spans="1:10" s="40" customFormat="1">
      <c r="A40" s="749">
        <v>30</v>
      </c>
      <c r="B40" s="755">
        <v>200</v>
      </c>
      <c r="C40" s="755">
        <v>200</v>
      </c>
      <c r="D40" s="755"/>
      <c r="E40" s="755"/>
      <c r="F40" s="756"/>
      <c r="G40" s="757" t="s">
        <v>3566</v>
      </c>
      <c r="H40" s="753"/>
      <c r="I40" s="758"/>
      <c r="J40" s="758"/>
    </row>
    <row r="41" spans="1:10" s="40" customFormat="1">
      <c r="A41" s="749">
        <v>30</v>
      </c>
      <c r="B41" s="755">
        <v>200</v>
      </c>
      <c r="C41" s="755">
        <v>200</v>
      </c>
      <c r="D41" s="750">
        <v>100</v>
      </c>
      <c r="E41" s="750"/>
      <c r="F41" s="751"/>
      <c r="G41" s="752" t="s">
        <v>4349</v>
      </c>
      <c r="H41" s="753" t="s">
        <v>3846</v>
      </c>
      <c r="I41" s="754"/>
      <c r="J41" s="754"/>
    </row>
    <row r="42" spans="1:10" s="40" customFormat="1">
      <c r="A42" s="749">
        <v>30</v>
      </c>
      <c r="B42" s="755">
        <v>200</v>
      </c>
      <c r="C42" s="755">
        <v>200</v>
      </c>
      <c r="D42" s="750">
        <v>200</v>
      </c>
      <c r="E42" s="750"/>
      <c r="F42" s="751"/>
      <c r="G42" s="752" t="s">
        <v>4350</v>
      </c>
      <c r="H42" s="753" t="s">
        <v>3848</v>
      </c>
      <c r="I42" s="754"/>
      <c r="J42" s="754"/>
    </row>
    <row r="43" spans="1:10" s="40" customFormat="1">
      <c r="A43" s="749">
        <v>30</v>
      </c>
      <c r="B43" s="755">
        <v>200</v>
      </c>
      <c r="C43" s="755">
        <v>200</v>
      </c>
      <c r="D43" s="750">
        <v>300</v>
      </c>
      <c r="E43" s="750"/>
      <c r="F43" s="751"/>
      <c r="G43" s="752" t="s">
        <v>4351</v>
      </c>
      <c r="H43" s="753" t="s">
        <v>3850</v>
      </c>
      <c r="I43" s="754"/>
      <c r="J43" s="754"/>
    </row>
    <row r="44" spans="1:10" s="40" customFormat="1">
      <c r="A44" s="749">
        <v>30</v>
      </c>
      <c r="B44" s="755">
        <v>200</v>
      </c>
      <c r="C44" s="755">
        <v>200</v>
      </c>
      <c r="D44" s="750">
        <v>400</v>
      </c>
      <c r="E44" s="750"/>
      <c r="F44" s="751"/>
      <c r="G44" s="752" t="s">
        <v>4352</v>
      </c>
      <c r="H44" s="753" t="s">
        <v>3852</v>
      </c>
      <c r="I44" s="754"/>
      <c r="J44" s="754"/>
    </row>
    <row r="45" spans="1:10" s="747" customFormat="1">
      <c r="A45" s="759">
        <v>100</v>
      </c>
      <c r="B45" s="760">
        <v>0</v>
      </c>
      <c r="C45" s="760">
        <v>0</v>
      </c>
      <c r="D45" s="760">
        <v>0</v>
      </c>
      <c r="E45" s="760">
        <v>0</v>
      </c>
      <c r="F45" s="761">
        <v>0</v>
      </c>
      <c r="G45" s="762" t="s">
        <v>4353</v>
      </c>
      <c r="H45" s="763"/>
      <c r="I45" s="764"/>
      <c r="J45" s="764"/>
    </row>
    <row r="46" spans="1:10" s="40" customFormat="1">
      <c r="A46" s="749">
        <v>100</v>
      </c>
      <c r="B46" s="755">
        <v>100</v>
      </c>
      <c r="C46" s="755"/>
      <c r="D46" s="755"/>
      <c r="E46" s="755"/>
      <c r="F46" s="756"/>
      <c r="G46" s="757" t="s">
        <v>3570</v>
      </c>
      <c r="H46" s="753"/>
      <c r="I46" s="758"/>
      <c r="J46" s="758"/>
    </row>
    <row r="47" spans="1:10" s="40" customFormat="1">
      <c r="A47" s="749">
        <v>100</v>
      </c>
      <c r="B47" s="755">
        <v>100</v>
      </c>
      <c r="C47" s="755">
        <v>100</v>
      </c>
      <c r="D47" s="755"/>
      <c r="E47" s="755"/>
      <c r="F47" s="756"/>
      <c r="G47" s="757" t="s">
        <v>539</v>
      </c>
      <c r="H47" s="753" t="s">
        <v>3860</v>
      </c>
      <c r="I47" s="758"/>
      <c r="J47" s="758"/>
    </row>
    <row r="48" spans="1:10" s="40" customFormat="1" ht="25.5">
      <c r="A48" s="749">
        <v>100</v>
      </c>
      <c r="B48" s="755">
        <v>100</v>
      </c>
      <c r="C48" s="755">
        <v>100</v>
      </c>
      <c r="D48" s="750">
        <v>10</v>
      </c>
      <c r="E48" s="750"/>
      <c r="F48" s="751"/>
      <c r="G48" s="780" t="s">
        <v>541</v>
      </c>
      <c r="H48" s="753"/>
      <c r="I48" s="368">
        <v>14295.51</v>
      </c>
      <c r="J48" s="368">
        <v>13092</v>
      </c>
    </row>
    <row r="49" spans="1:10" s="40" customFormat="1">
      <c r="A49" s="749">
        <v>100</v>
      </c>
      <c r="B49" s="755">
        <v>100</v>
      </c>
      <c r="C49" s="755">
        <v>100</v>
      </c>
      <c r="D49" s="750">
        <v>20</v>
      </c>
      <c r="E49" s="750"/>
      <c r="F49" s="751"/>
      <c r="G49" s="779" t="s">
        <v>544</v>
      </c>
      <c r="H49" s="753"/>
      <c r="I49" s="368">
        <v>8189.65</v>
      </c>
      <c r="J49" s="368">
        <v>5346</v>
      </c>
    </row>
    <row r="50" spans="1:10" s="40" customFormat="1">
      <c r="A50" s="749">
        <v>100</v>
      </c>
      <c r="B50" s="755">
        <v>100</v>
      </c>
      <c r="C50" s="755">
        <v>100</v>
      </c>
      <c r="D50" s="750">
        <v>30</v>
      </c>
      <c r="E50" s="750"/>
      <c r="F50" s="751"/>
      <c r="G50" s="779" t="s">
        <v>548</v>
      </c>
      <c r="H50" s="753"/>
      <c r="I50" s="754"/>
      <c r="J50" s="754"/>
    </row>
    <row r="51" spans="1:10" s="40" customFormat="1">
      <c r="A51" s="749">
        <v>100</v>
      </c>
      <c r="B51" s="755">
        <v>100</v>
      </c>
      <c r="C51" s="750">
        <v>200</v>
      </c>
      <c r="D51" s="750"/>
      <c r="E51" s="750"/>
      <c r="F51" s="751"/>
      <c r="G51" s="752" t="s">
        <v>556</v>
      </c>
      <c r="H51" s="753" t="s">
        <v>3862</v>
      </c>
      <c r="I51" s="754"/>
      <c r="J51" s="754"/>
    </row>
    <row r="52" spans="1:10" s="40" customFormat="1">
      <c r="A52" s="749">
        <v>100</v>
      </c>
      <c r="B52" s="755">
        <v>100</v>
      </c>
      <c r="C52" s="755">
        <v>300</v>
      </c>
      <c r="D52" s="755"/>
      <c r="E52" s="755"/>
      <c r="F52" s="756"/>
      <c r="G52" s="757" t="s">
        <v>564</v>
      </c>
      <c r="H52" s="753" t="s">
        <v>3864</v>
      </c>
      <c r="I52" s="758"/>
      <c r="J52" s="758"/>
    </row>
    <row r="53" spans="1:10" s="40" customFormat="1">
      <c r="A53" s="749">
        <v>100</v>
      </c>
      <c r="B53" s="755">
        <v>100</v>
      </c>
      <c r="C53" s="755">
        <v>300</v>
      </c>
      <c r="D53" s="750">
        <v>10</v>
      </c>
      <c r="E53" s="750"/>
      <c r="F53" s="751"/>
      <c r="G53" s="779" t="s">
        <v>564</v>
      </c>
      <c r="H53" s="753"/>
      <c r="I53" s="368">
        <v>61228.97</v>
      </c>
      <c r="J53" s="368">
        <v>63247</v>
      </c>
    </row>
    <row r="54" spans="1:10" s="40" customFormat="1">
      <c r="A54" s="749">
        <v>100</v>
      </c>
      <c r="B54" s="755">
        <v>100</v>
      </c>
      <c r="C54" s="755">
        <v>300</v>
      </c>
      <c r="D54" s="750">
        <v>20</v>
      </c>
      <c r="E54" s="750"/>
      <c r="F54" s="751"/>
      <c r="G54" s="779" t="s">
        <v>568</v>
      </c>
      <c r="H54" s="753"/>
      <c r="I54" s="368"/>
      <c r="J54" s="368"/>
    </row>
    <row r="55" spans="1:10" s="40" customFormat="1">
      <c r="A55" s="749">
        <v>100</v>
      </c>
      <c r="B55" s="755">
        <v>100</v>
      </c>
      <c r="C55" s="755">
        <v>300</v>
      </c>
      <c r="D55" s="750">
        <v>30</v>
      </c>
      <c r="E55" s="750"/>
      <c r="F55" s="751"/>
      <c r="G55" s="779" t="s">
        <v>570</v>
      </c>
      <c r="H55" s="753"/>
      <c r="I55" s="368">
        <v>409179.17</v>
      </c>
      <c r="J55" s="368">
        <v>780080</v>
      </c>
    </row>
    <row r="56" spans="1:10" s="40" customFormat="1">
      <c r="A56" s="749">
        <v>100</v>
      </c>
      <c r="B56" s="755">
        <v>100</v>
      </c>
      <c r="C56" s="750">
        <v>400</v>
      </c>
      <c r="D56" s="750"/>
      <c r="E56" s="750"/>
      <c r="F56" s="751"/>
      <c r="G56" s="752" t="s">
        <v>572</v>
      </c>
      <c r="H56" s="753" t="s">
        <v>3866</v>
      </c>
      <c r="I56" s="368">
        <v>2273.6</v>
      </c>
      <c r="J56" s="368">
        <v>1406</v>
      </c>
    </row>
    <row r="57" spans="1:10" s="40" customFormat="1">
      <c r="A57" s="749">
        <v>100</v>
      </c>
      <c r="B57" s="755">
        <v>100</v>
      </c>
      <c r="C57" s="750">
        <v>500</v>
      </c>
      <c r="D57" s="750"/>
      <c r="E57" s="750"/>
      <c r="F57" s="751"/>
      <c r="G57" s="752" t="s">
        <v>574</v>
      </c>
      <c r="H57" s="753" t="s">
        <v>3868</v>
      </c>
      <c r="I57" s="754"/>
      <c r="J57" s="754"/>
    </row>
    <row r="58" spans="1:10" s="40" customFormat="1">
      <c r="A58" s="749">
        <v>100</v>
      </c>
      <c r="B58" s="755">
        <v>100</v>
      </c>
      <c r="C58" s="750">
        <v>600</v>
      </c>
      <c r="D58" s="750"/>
      <c r="E58" s="750"/>
      <c r="F58" s="751"/>
      <c r="G58" s="752" t="s">
        <v>576</v>
      </c>
      <c r="H58" s="753" t="s">
        <v>3870</v>
      </c>
      <c r="I58" s="754">
        <v>83742.539999999994</v>
      </c>
      <c r="J58" s="754">
        <v>76457</v>
      </c>
    </row>
    <row r="59" spans="1:10" s="40" customFormat="1">
      <c r="A59" s="749">
        <v>100</v>
      </c>
      <c r="B59" s="755">
        <v>100</v>
      </c>
      <c r="C59" s="750">
        <v>700</v>
      </c>
      <c r="D59" s="750"/>
      <c r="E59" s="750"/>
      <c r="F59" s="751"/>
      <c r="G59" s="752" t="s">
        <v>578</v>
      </c>
      <c r="H59" s="753" t="s">
        <v>3872</v>
      </c>
      <c r="I59" s="754"/>
      <c r="J59" s="754"/>
    </row>
    <row r="60" spans="1:10" s="40" customFormat="1">
      <c r="A60" s="749">
        <v>100</v>
      </c>
      <c r="B60" s="755">
        <v>100</v>
      </c>
      <c r="C60" s="750">
        <v>800</v>
      </c>
      <c r="D60" s="750"/>
      <c r="E60" s="750"/>
      <c r="F60" s="751"/>
      <c r="G60" s="752" t="s">
        <v>580</v>
      </c>
      <c r="H60" s="753" t="s">
        <v>3874</v>
      </c>
      <c r="I60" s="368">
        <v>219783.4</v>
      </c>
      <c r="J60" s="368">
        <v>239098</v>
      </c>
    </row>
    <row r="61" spans="1:10" s="40" customFormat="1">
      <c r="A61" s="749">
        <v>100</v>
      </c>
      <c r="B61" s="755">
        <v>100</v>
      </c>
      <c r="C61" s="750">
        <v>900</v>
      </c>
      <c r="D61" s="750"/>
      <c r="E61" s="750"/>
      <c r="F61" s="751"/>
      <c r="G61" s="752" t="s">
        <v>4354</v>
      </c>
      <c r="H61" s="753" t="s">
        <v>3876</v>
      </c>
      <c r="I61" s="754"/>
      <c r="J61" s="754"/>
    </row>
    <row r="62" spans="1:10" s="40" customFormat="1">
      <c r="A62" s="749">
        <v>100</v>
      </c>
      <c r="B62" s="755">
        <v>200</v>
      </c>
      <c r="C62" s="755"/>
      <c r="D62" s="755"/>
      <c r="E62" s="755"/>
      <c r="F62" s="756"/>
      <c r="G62" s="757" t="s">
        <v>3571</v>
      </c>
      <c r="H62" s="753"/>
      <c r="I62" s="758"/>
      <c r="J62" s="758"/>
    </row>
    <row r="63" spans="1:10" s="40" customFormat="1">
      <c r="A63" s="749">
        <v>100</v>
      </c>
      <c r="B63" s="755">
        <v>200</v>
      </c>
      <c r="C63" s="750">
        <v>100</v>
      </c>
      <c r="D63" s="750"/>
      <c r="E63" s="750"/>
      <c r="F63" s="751"/>
      <c r="G63" s="752" t="s">
        <v>594</v>
      </c>
      <c r="H63" s="753" t="s">
        <v>3880</v>
      </c>
      <c r="I63" s="754">
        <v>92.9</v>
      </c>
      <c r="J63" s="754">
        <v>93</v>
      </c>
    </row>
    <row r="64" spans="1:10" s="40" customFormat="1">
      <c r="A64" s="749">
        <v>100</v>
      </c>
      <c r="B64" s="755">
        <v>200</v>
      </c>
      <c r="C64" s="750">
        <v>200</v>
      </c>
      <c r="D64" s="750"/>
      <c r="E64" s="750"/>
      <c r="F64" s="751"/>
      <c r="G64" s="752" t="s">
        <v>4355</v>
      </c>
      <c r="H64" s="753" t="s">
        <v>3882</v>
      </c>
      <c r="I64" s="754">
        <v>5641.95</v>
      </c>
      <c r="J64" s="754">
        <v>7921</v>
      </c>
    </row>
    <row r="65" spans="1:12" s="40" customFormat="1">
      <c r="A65" s="749">
        <v>100</v>
      </c>
      <c r="B65" s="755">
        <v>200</v>
      </c>
      <c r="C65" s="750">
        <v>300</v>
      </c>
      <c r="D65" s="750"/>
      <c r="E65" s="750"/>
      <c r="F65" s="751"/>
      <c r="G65" s="752" t="s">
        <v>598</v>
      </c>
      <c r="H65" s="753" t="s">
        <v>3884</v>
      </c>
      <c r="I65" s="754"/>
      <c r="J65" s="754"/>
    </row>
    <row r="66" spans="1:12" s="40" customFormat="1">
      <c r="A66" s="749">
        <v>100</v>
      </c>
      <c r="B66" s="755">
        <v>200</v>
      </c>
      <c r="C66" s="750">
        <v>400</v>
      </c>
      <c r="D66" s="750"/>
      <c r="E66" s="750"/>
      <c r="F66" s="751"/>
      <c r="G66" s="752" t="s">
        <v>600</v>
      </c>
      <c r="H66" s="753" t="s">
        <v>3886</v>
      </c>
      <c r="I66" s="754">
        <v>100753.81</v>
      </c>
      <c r="J66" s="754">
        <v>90433</v>
      </c>
    </row>
    <row r="67" spans="1:12" s="40" customFormat="1">
      <c r="A67" s="749">
        <v>100</v>
      </c>
      <c r="B67" s="755">
        <v>200</v>
      </c>
      <c r="C67" s="750">
        <v>500</v>
      </c>
      <c r="D67" s="750"/>
      <c r="E67" s="750"/>
      <c r="F67" s="751"/>
      <c r="G67" s="752" t="s">
        <v>605</v>
      </c>
      <c r="H67" s="753" t="s">
        <v>3888</v>
      </c>
      <c r="I67" s="754">
        <v>8113.39</v>
      </c>
      <c r="J67" s="754">
        <v>7486</v>
      </c>
    </row>
    <row r="68" spans="1:12" s="40" customFormat="1">
      <c r="A68" s="749">
        <v>100</v>
      </c>
      <c r="B68" s="755">
        <v>200</v>
      </c>
      <c r="C68" s="750">
        <v>600</v>
      </c>
      <c r="D68" s="750"/>
      <c r="E68" s="750"/>
      <c r="F68" s="751"/>
      <c r="G68" s="752" t="s">
        <v>609</v>
      </c>
      <c r="H68" s="753" t="s">
        <v>3890</v>
      </c>
      <c r="I68" s="754">
        <v>29921.13</v>
      </c>
      <c r="J68" s="754">
        <v>30998</v>
      </c>
    </row>
    <row r="69" spans="1:12" s="40" customFormat="1">
      <c r="A69" s="749">
        <v>100</v>
      </c>
      <c r="B69" s="755">
        <v>200</v>
      </c>
      <c r="C69" s="750">
        <v>700</v>
      </c>
      <c r="D69" s="750"/>
      <c r="E69" s="750"/>
      <c r="F69" s="751"/>
      <c r="G69" s="752" t="s">
        <v>4356</v>
      </c>
      <c r="H69" s="753" t="s">
        <v>3892</v>
      </c>
      <c r="I69" s="754"/>
      <c r="J69" s="754"/>
    </row>
    <row r="70" spans="1:12" s="747" customFormat="1">
      <c r="A70" s="759">
        <v>110</v>
      </c>
      <c r="B70" s="760">
        <v>0</v>
      </c>
      <c r="C70" s="760">
        <v>0</v>
      </c>
      <c r="D70" s="760">
        <v>0</v>
      </c>
      <c r="E70" s="760">
        <v>0</v>
      </c>
      <c r="F70" s="781"/>
      <c r="G70" s="762" t="s">
        <v>4357</v>
      </c>
      <c r="H70" s="782"/>
      <c r="I70" s="783"/>
      <c r="J70" s="783"/>
    </row>
    <row r="71" spans="1:12" s="40" customFormat="1">
      <c r="A71" s="749">
        <v>110</v>
      </c>
      <c r="B71" s="755">
        <v>100</v>
      </c>
      <c r="C71" s="755"/>
      <c r="D71" s="755"/>
      <c r="E71" s="755"/>
      <c r="F71" s="756"/>
      <c r="G71" s="757" t="s">
        <v>3575</v>
      </c>
      <c r="H71" s="753"/>
      <c r="I71" s="758"/>
      <c r="J71" s="758"/>
    </row>
    <row r="72" spans="1:12" s="40" customFormat="1">
      <c r="A72" s="749">
        <v>110</v>
      </c>
      <c r="B72" s="755">
        <v>100</v>
      </c>
      <c r="C72" s="750">
        <v>50</v>
      </c>
      <c r="D72" s="750"/>
      <c r="E72" s="755"/>
      <c r="F72" s="756"/>
      <c r="G72" s="752" t="s">
        <v>4358</v>
      </c>
      <c r="H72" s="753" t="s">
        <v>3898</v>
      </c>
      <c r="I72" s="754"/>
      <c r="J72" s="754"/>
      <c r="L72" s="778"/>
    </row>
    <row r="73" spans="1:12" s="40" customFormat="1">
      <c r="A73" s="749">
        <v>110</v>
      </c>
      <c r="B73" s="755">
        <v>100</v>
      </c>
      <c r="C73" s="750">
        <v>100</v>
      </c>
      <c r="D73" s="750"/>
      <c r="E73" s="750"/>
      <c r="F73" s="751"/>
      <c r="G73" s="752" t="s">
        <v>4359</v>
      </c>
      <c r="H73" s="753" t="s">
        <v>3900</v>
      </c>
      <c r="I73" s="754"/>
      <c r="J73" s="754"/>
    </row>
    <row r="74" spans="1:12" s="40" customFormat="1">
      <c r="A74" s="749">
        <v>110</v>
      </c>
      <c r="B74" s="755">
        <v>100</v>
      </c>
      <c r="C74" s="750">
        <v>200</v>
      </c>
      <c r="D74" s="750"/>
      <c r="E74" s="750"/>
      <c r="F74" s="751"/>
      <c r="G74" s="752" t="s">
        <v>4360</v>
      </c>
      <c r="H74" s="753" t="s">
        <v>3902</v>
      </c>
      <c r="I74" s="754"/>
      <c r="J74" s="754"/>
    </row>
    <row r="75" spans="1:12" s="40" customFormat="1">
      <c r="A75" s="749">
        <v>110</v>
      </c>
      <c r="B75" s="755">
        <v>100</v>
      </c>
      <c r="C75" s="750">
        <v>300</v>
      </c>
      <c r="D75" s="750"/>
      <c r="E75" s="750"/>
      <c r="F75" s="751"/>
      <c r="G75" s="752" t="s">
        <v>4361</v>
      </c>
      <c r="H75" s="753" t="s">
        <v>3904</v>
      </c>
      <c r="I75" s="754"/>
      <c r="J75" s="754"/>
    </row>
    <row r="76" spans="1:12" s="40" customFormat="1">
      <c r="A76" s="749">
        <v>110</v>
      </c>
      <c r="B76" s="755">
        <v>100</v>
      </c>
      <c r="C76" s="750">
        <v>400</v>
      </c>
      <c r="D76" s="750"/>
      <c r="E76" s="750"/>
      <c r="F76" s="751"/>
      <c r="G76" s="752" t="s">
        <v>4362</v>
      </c>
      <c r="H76" s="753" t="s">
        <v>3906</v>
      </c>
      <c r="I76" s="754"/>
      <c r="J76" s="754"/>
    </row>
    <row r="77" spans="1:12" s="40" customFormat="1">
      <c r="A77" s="749">
        <v>110</v>
      </c>
      <c r="B77" s="755">
        <v>100</v>
      </c>
      <c r="C77" s="750">
        <v>500</v>
      </c>
      <c r="D77" s="750"/>
      <c r="E77" s="750"/>
      <c r="F77" s="751"/>
      <c r="G77" s="752" t="s">
        <v>4363</v>
      </c>
      <c r="H77" s="753" t="s">
        <v>3908</v>
      </c>
      <c r="I77" s="754"/>
      <c r="J77" s="754"/>
    </row>
    <row r="78" spans="1:12" s="40" customFormat="1">
      <c r="A78" s="749">
        <v>110</v>
      </c>
      <c r="B78" s="755">
        <v>100</v>
      </c>
      <c r="C78" s="755">
        <v>600</v>
      </c>
      <c r="D78" s="755"/>
      <c r="E78" s="755"/>
      <c r="F78" s="756"/>
      <c r="G78" s="757" t="s">
        <v>4364</v>
      </c>
      <c r="H78" s="753" t="s">
        <v>3910</v>
      </c>
      <c r="I78" s="758"/>
      <c r="J78" s="758"/>
    </row>
    <row r="79" spans="1:12" s="40" customFormat="1">
      <c r="A79" s="749">
        <v>110</v>
      </c>
      <c r="B79" s="755">
        <v>100</v>
      </c>
      <c r="C79" s="755">
        <v>600</v>
      </c>
      <c r="D79" s="750">
        <v>100</v>
      </c>
      <c r="E79" s="750"/>
      <c r="F79" s="751"/>
      <c r="G79" s="752" t="s">
        <v>4364</v>
      </c>
      <c r="H79" s="753"/>
      <c r="I79" s="754">
        <v>209410</v>
      </c>
      <c r="J79" s="754">
        <v>774804</v>
      </c>
    </row>
    <row r="80" spans="1:12" s="40" customFormat="1">
      <c r="A80" s="749">
        <v>110</v>
      </c>
      <c r="B80" s="755">
        <v>100</v>
      </c>
      <c r="C80" s="755">
        <v>600</v>
      </c>
      <c r="D80" s="750">
        <v>800</v>
      </c>
      <c r="E80" s="750"/>
      <c r="F80" s="751"/>
      <c r="G80" s="752" t="s">
        <v>4365</v>
      </c>
      <c r="H80" s="753"/>
      <c r="I80" s="754"/>
      <c r="J80" s="754"/>
    </row>
    <row r="81" spans="1:10" s="40" customFormat="1">
      <c r="A81" s="749">
        <v>110</v>
      </c>
      <c r="B81" s="755">
        <v>100</v>
      </c>
      <c r="C81" s="755">
        <v>600</v>
      </c>
      <c r="D81" s="750">
        <v>900</v>
      </c>
      <c r="E81" s="750"/>
      <c r="F81" s="751"/>
      <c r="G81" s="752" t="s">
        <v>4366</v>
      </c>
      <c r="H81" s="753"/>
      <c r="I81" s="754"/>
      <c r="J81" s="754"/>
    </row>
    <row r="82" spans="1:10" s="40" customFormat="1">
      <c r="A82" s="749">
        <v>110</v>
      </c>
      <c r="B82" s="755">
        <v>100</v>
      </c>
      <c r="C82" s="755">
        <v>650</v>
      </c>
      <c r="D82" s="750"/>
      <c r="E82" s="755"/>
      <c r="F82" s="756"/>
      <c r="G82" s="752" t="s">
        <v>4367</v>
      </c>
      <c r="H82" s="753" t="s">
        <v>3912</v>
      </c>
      <c r="I82" s="754"/>
      <c r="J82" s="754"/>
    </row>
    <row r="83" spans="1:10" s="40" customFormat="1">
      <c r="A83" s="749">
        <v>110</v>
      </c>
      <c r="B83" s="755">
        <v>100</v>
      </c>
      <c r="C83" s="750">
        <v>700</v>
      </c>
      <c r="D83" s="750"/>
      <c r="E83" s="750"/>
      <c r="F83" s="751"/>
      <c r="G83" s="752" t="s">
        <v>4368</v>
      </c>
      <c r="H83" s="753" t="s">
        <v>3914</v>
      </c>
      <c r="I83" s="754">
        <v>15901209.109999999</v>
      </c>
      <c r="J83" s="754">
        <v>15901209</v>
      </c>
    </row>
    <row r="84" spans="1:10" s="40" customFormat="1">
      <c r="A84" s="749">
        <v>110</v>
      </c>
      <c r="B84" s="755">
        <v>100</v>
      </c>
      <c r="C84" s="755">
        <v>800</v>
      </c>
      <c r="D84" s="755"/>
      <c r="E84" s="755"/>
      <c r="F84" s="756"/>
      <c r="G84" s="757" t="s">
        <v>3580</v>
      </c>
      <c r="H84" s="753"/>
      <c r="I84" s="758"/>
      <c r="J84" s="758"/>
    </row>
    <row r="85" spans="1:10" s="40" customFormat="1">
      <c r="A85" s="749">
        <v>110</v>
      </c>
      <c r="B85" s="755">
        <v>100</v>
      </c>
      <c r="C85" s="755">
        <v>800</v>
      </c>
      <c r="D85" s="750">
        <v>100</v>
      </c>
      <c r="E85" s="750"/>
      <c r="F85" s="751"/>
      <c r="G85" s="752" t="s">
        <v>4369</v>
      </c>
      <c r="H85" s="753" t="s">
        <v>3918</v>
      </c>
      <c r="I85" s="754"/>
      <c r="J85" s="754"/>
    </row>
    <row r="86" spans="1:10" s="40" customFormat="1">
      <c r="A86" s="749">
        <v>110</v>
      </c>
      <c r="B86" s="755">
        <v>100</v>
      </c>
      <c r="C86" s="755">
        <v>800</v>
      </c>
      <c r="D86" s="750">
        <v>200</v>
      </c>
      <c r="E86" s="750"/>
      <c r="F86" s="751"/>
      <c r="G86" s="752" t="s">
        <v>4370</v>
      </c>
      <c r="H86" s="753" t="s">
        <v>3920</v>
      </c>
      <c r="I86" s="754">
        <v>796484.59</v>
      </c>
      <c r="J86" s="754">
        <v>1044688</v>
      </c>
    </row>
    <row r="87" spans="1:10" s="40" customFormat="1">
      <c r="A87" s="749">
        <v>110</v>
      </c>
      <c r="B87" s="755">
        <v>100</v>
      </c>
      <c r="C87" s="755">
        <v>800</v>
      </c>
      <c r="D87" s="755">
        <v>300</v>
      </c>
      <c r="E87" s="755"/>
      <c r="F87" s="756"/>
      <c r="G87" s="757" t="s">
        <v>3583</v>
      </c>
      <c r="H87" s="753" t="s">
        <v>3922</v>
      </c>
      <c r="I87" s="758"/>
      <c r="J87" s="758"/>
    </row>
    <row r="88" spans="1:10" s="40" customFormat="1">
      <c r="A88" s="749">
        <v>110</v>
      </c>
      <c r="B88" s="755">
        <v>100</v>
      </c>
      <c r="C88" s="755">
        <v>800</v>
      </c>
      <c r="D88" s="755">
        <v>300</v>
      </c>
      <c r="E88" s="750">
        <v>10</v>
      </c>
      <c r="F88" s="751"/>
      <c r="G88" s="752" t="s">
        <v>4371</v>
      </c>
      <c r="H88" s="753"/>
      <c r="I88" s="754"/>
      <c r="J88" s="754"/>
    </row>
    <row r="89" spans="1:10" s="40" customFormat="1">
      <c r="A89" s="749">
        <v>110</v>
      </c>
      <c r="B89" s="755">
        <v>100</v>
      </c>
      <c r="C89" s="755">
        <v>800</v>
      </c>
      <c r="D89" s="755">
        <v>300</v>
      </c>
      <c r="E89" s="750">
        <v>20</v>
      </c>
      <c r="F89" s="751"/>
      <c r="G89" s="752" t="s">
        <v>4372</v>
      </c>
      <c r="H89" s="753"/>
      <c r="I89" s="754"/>
      <c r="J89" s="754"/>
    </row>
    <row r="90" spans="1:10" s="40" customFormat="1">
      <c r="A90" s="749">
        <v>110</v>
      </c>
      <c r="B90" s="755">
        <v>100</v>
      </c>
      <c r="C90" s="755">
        <v>800</v>
      </c>
      <c r="D90" s="750">
        <v>300</v>
      </c>
      <c r="E90" s="755">
        <v>90</v>
      </c>
      <c r="F90" s="756"/>
      <c r="G90" s="752" t="s">
        <v>4373</v>
      </c>
      <c r="H90" s="753"/>
      <c r="I90" s="754"/>
      <c r="J90" s="754"/>
    </row>
    <row r="91" spans="1:10" s="40" customFormat="1">
      <c r="A91" s="749">
        <v>110</v>
      </c>
      <c r="B91" s="755">
        <v>100</v>
      </c>
      <c r="C91" s="755">
        <v>800</v>
      </c>
      <c r="D91" s="750">
        <v>400</v>
      </c>
      <c r="E91" s="755"/>
      <c r="F91" s="756"/>
      <c r="G91" s="752" t="s">
        <v>4374</v>
      </c>
      <c r="H91" s="753" t="s">
        <v>3924</v>
      </c>
      <c r="I91" s="754">
        <v>664843</v>
      </c>
      <c r="J91" s="754">
        <v>664843</v>
      </c>
    </row>
    <row r="92" spans="1:10" s="40" customFormat="1">
      <c r="A92" s="749">
        <v>110</v>
      </c>
      <c r="B92" s="755">
        <v>100</v>
      </c>
      <c r="C92" s="755">
        <v>900</v>
      </c>
      <c r="D92" s="755"/>
      <c r="E92" s="755"/>
      <c r="F92" s="756"/>
      <c r="G92" s="757" t="s">
        <v>3585</v>
      </c>
      <c r="H92" s="753" t="s">
        <v>3926</v>
      </c>
      <c r="I92" s="758"/>
      <c r="J92" s="758"/>
    </row>
    <row r="93" spans="1:10" s="40" customFormat="1">
      <c r="A93" s="749">
        <v>110</v>
      </c>
      <c r="B93" s="755">
        <v>100</v>
      </c>
      <c r="C93" s="755">
        <v>900</v>
      </c>
      <c r="D93" s="750">
        <v>100</v>
      </c>
      <c r="E93" s="750"/>
      <c r="F93" s="751"/>
      <c r="G93" s="752" t="s">
        <v>4375</v>
      </c>
      <c r="H93" s="753"/>
      <c r="I93" s="754">
        <v>1022.3</v>
      </c>
      <c r="J93" s="754">
        <v>2233</v>
      </c>
    </row>
    <row r="94" spans="1:10" s="40" customFormat="1">
      <c r="A94" s="749">
        <v>110</v>
      </c>
      <c r="B94" s="755">
        <v>100</v>
      </c>
      <c r="C94" s="755">
        <v>900</v>
      </c>
      <c r="D94" s="750">
        <v>800</v>
      </c>
      <c r="E94" s="750"/>
      <c r="F94" s="751"/>
      <c r="G94" s="752" t="s">
        <v>4365</v>
      </c>
      <c r="H94" s="753"/>
      <c r="I94" s="754"/>
      <c r="J94" s="754"/>
    </row>
    <row r="95" spans="1:10" s="40" customFormat="1">
      <c r="A95" s="749">
        <v>110</v>
      </c>
      <c r="B95" s="755">
        <v>100</v>
      </c>
      <c r="C95" s="755">
        <v>900</v>
      </c>
      <c r="D95" s="750">
        <v>900</v>
      </c>
      <c r="E95" s="750"/>
      <c r="F95" s="751"/>
      <c r="G95" s="752" t="s">
        <v>4376</v>
      </c>
      <c r="H95" s="753"/>
      <c r="I95" s="754"/>
      <c r="J95" s="754"/>
    </row>
    <row r="96" spans="1:10" s="40" customFormat="1">
      <c r="A96" s="749">
        <v>110</v>
      </c>
      <c r="B96" s="755">
        <v>200</v>
      </c>
      <c r="C96" s="755"/>
      <c r="D96" s="755"/>
      <c r="E96" s="755"/>
      <c r="F96" s="756"/>
      <c r="G96" s="757" t="s">
        <v>3586</v>
      </c>
      <c r="H96" s="753" t="s">
        <v>3928</v>
      </c>
      <c r="I96" s="758"/>
      <c r="J96" s="758"/>
    </row>
    <row r="97" spans="1:10" s="40" customFormat="1">
      <c r="A97" s="749">
        <v>110</v>
      </c>
      <c r="B97" s="755">
        <v>200</v>
      </c>
      <c r="C97" s="755">
        <v>100</v>
      </c>
      <c r="D97" s="750"/>
      <c r="E97" s="755"/>
      <c r="F97" s="756"/>
      <c r="G97" s="757" t="s">
        <v>3588</v>
      </c>
      <c r="H97" s="753" t="s">
        <v>3930</v>
      </c>
      <c r="I97" s="758"/>
      <c r="J97" s="758"/>
    </row>
    <row r="98" spans="1:10" s="40" customFormat="1">
      <c r="A98" s="749">
        <v>110</v>
      </c>
      <c r="B98" s="755">
        <v>200</v>
      </c>
      <c r="C98" s="755">
        <v>100</v>
      </c>
      <c r="D98" s="750">
        <v>200</v>
      </c>
      <c r="E98" s="750"/>
      <c r="F98" s="751"/>
      <c r="G98" s="752" t="s">
        <v>4377</v>
      </c>
      <c r="H98" s="753" t="s">
        <v>3933</v>
      </c>
      <c r="I98" s="754"/>
      <c r="J98" s="754"/>
    </row>
    <row r="99" spans="1:10" s="40" customFormat="1">
      <c r="A99" s="749">
        <v>110</v>
      </c>
      <c r="B99" s="755">
        <v>200</v>
      </c>
      <c r="C99" s="755">
        <v>100</v>
      </c>
      <c r="D99" s="750">
        <v>300</v>
      </c>
      <c r="E99" s="750"/>
      <c r="F99" s="751"/>
      <c r="G99" s="752" t="s">
        <v>4378</v>
      </c>
      <c r="H99" s="753" t="s">
        <v>3935</v>
      </c>
      <c r="I99" s="754"/>
      <c r="J99" s="754"/>
    </row>
    <row r="100" spans="1:10" s="40" customFormat="1" ht="25.5">
      <c r="A100" s="749">
        <v>110</v>
      </c>
      <c r="B100" s="755">
        <v>200</v>
      </c>
      <c r="C100" s="755">
        <v>100</v>
      </c>
      <c r="D100" s="750">
        <v>400</v>
      </c>
      <c r="E100" s="750"/>
      <c r="F100" s="751"/>
      <c r="G100" s="752" t="s">
        <v>4379</v>
      </c>
      <c r="H100" s="753" t="s">
        <v>3937</v>
      </c>
      <c r="I100" s="754">
        <v>5436851.6799999997</v>
      </c>
      <c r="J100" s="754">
        <v>925322</v>
      </c>
    </row>
    <row r="101" spans="1:10" s="40" customFormat="1">
      <c r="A101" s="749">
        <v>110</v>
      </c>
      <c r="B101" s="755">
        <v>200</v>
      </c>
      <c r="C101" s="755">
        <v>100</v>
      </c>
      <c r="D101" s="750">
        <v>500</v>
      </c>
      <c r="E101" s="750"/>
      <c r="F101" s="751"/>
      <c r="G101" s="752" t="s">
        <v>4380</v>
      </c>
      <c r="H101" s="753" t="s">
        <v>3939</v>
      </c>
      <c r="I101" s="754"/>
      <c r="J101" s="754"/>
    </row>
    <row r="102" spans="1:10" s="40" customFormat="1" ht="25.5">
      <c r="A102" s="749">
        <v>110</v>
      </c>
      <c r="B102" s="755">
        <v>200</v>
      </c>
      <c r="C102" s="755">
        <v>100</v>
      </c>
      <c r="D102" s="750">
        <v>600</v>
      </c>
      <c r="E102" s="750"/>
      <c r="F102" s="751"/>
      <c r="G102" s="752" t="s">
        <v>4381</v>
      </c>
      <c r="H102" s="753" t="s">
        <v>3941</v>
      </c>
      <c r="I102" s="754"/>
      <c r="J102" s="754"/>
    </row>
    <row r="103" spans="1:10" s="40" customFormat="1" ht="25.5">
      <c r="A103" s="749">
        <v>110</v>
      </c>
      <c r="B103" s="755">
        <v>200</v>
      </c>
      <c r="C103" s="755">
        <v>100</v>
      </c>
      <c r="D103" s="750">
        <v>700</v>
      </c>
      <c r="E103" s="750"/>
      <c r="F103" s="751"/>
      <c r="G103" s="752" t="s">
        <v>4382</v>
      </c>
      <c r="H103" s="753" t="s">
        <v>3943</v>
      </c>
      <c r="I103" s="754"/>
      <c r="J103" s="754"/>
    </row>
    <row r="104" spans="1:10" s="40" customFormat="1">
      <c r="A104" s="749">
        <v>110</v>
      </c>
      <c r="B104" s="755">
        <v>200</v>
      </c>
      <c r="C104" s="755">
        <v>100</v>
      </c>
      <c r="D104" s="750">
        <v>800</v>
      </c>
      <c r="E104" s="755"/>
      <c r="F104" s="756"/>
      <c r="G104" s="757" t="s">
        <v>4383</v>
      </c>
      <c r="H104" s="753" t="s">
        <v>3945</v>
      </c>
      <c r="I104" s="758"/>
      <c r="J104" s="758"/>
    </row>
    <row r="105" spans="1:10" s="40" customFormat="1">
      <c r="A105" s="749">
        <v>110</v>
      </c>
      <c r="B105" s="755">
        <v>200</v>
      </c>
      <c r="C105" s="755">
        <v>100</v>
      </c>
      <c r="D105" s="750">
        <v>800</v>
      </c>
      <c r="E105" s="750">
        <v>10</v>
      </c>
      <c r="F105" s="751"/>
      <c r="G105" s="752" t="s">
        <v>4383</v>
      </c>
      <c r="H105" s="753"/>
      <c r="I105" s="754">
        <v>591211.18999999994</v>
      </c>
      <c r="J105" s="754">
        <v>889145</v>
      </c>
    </row>
    <row r="106" spans="1:10" s="40" customFormat="1">
      <c r="A106" s="749">
        <v>110</v>
      </c>
      <c r="B106" s="755">
        <v>200</v>
      </c>
      <c r="C106" s="755">
        <v>100</v>
      </c>
      <c r="D106" s="750">
        <v>800</v>
      </c>
      <c r="E106" s="750">
        <v>80</v>
      </c>
      <c r="F106" s="751"/>
      <c r="G106" s="752" t="s">
        <v>4365</v>
      </c>
      <c r="H106" s="753"/>
      <c r="I106" s="754">
        <v>2053</v>
      </c>
      <c r="J106" s="754"/>
    </row>
    <row r="107" spans="1:10" s="40" customFormat="1">
      <c r="A107" s="749">
        <v>110</v>
      </c>
      <c r="B107" s="755">
        <v>200</v>
      </c>
      <c r="C107" s="755">
        <v>100</v>
      </c>
      <c r="D107" s="750">
        <v>800</v>
      </c>
      <c r="E107" s="750">
        <v>90</v>
      </c>
      <c r="F107" s="751"/>
      <c r="G107" s="784" t="s">
        <v>4376</v>
      </c>
      <c r="H107" s="753"/>
      <c r="I107" s="754"/>
      <c r="J107" s="754"/>
    </row>
    <row r="108" spans="1:10" s="40" customFormat="1" ht="25.5">
      <c r="A108" s="749">
        <v>110</v>
      </c>
      <c r="B108" s="755">
        <v>200</v>
      </c>
      <c r="C108" s="755">
        <v>100</v>
      </c>
      <c r="D108" s="750">
        <v>850</v>
      </c>
      <c r="E108" s="755"/>
      <c r="F108" s="756"/>
      <c r="G108" s="752" t="s">
        <v>4384</v>
      </c>
      <c r="H108" s="753" t="s">
        <v>3947</v>
      </c>
      <c r="I108" s="754"/>
      <c r="J108" s="754"/>
    </row>
    <row r="109" spans="1:10" s="40" customFormat="1">
      <c r="A109" s="749">
        <v>110</v>
      </c>
      <c r="B109" s="755">
        <v>200</v>
      </c>
      <c r="C109" s="755">
        <v>100</v>
      </c>
      <c r="D109" s="750">
        <v>900</v>
      </c>
      <c r="E109" s="755"/>
      <c r="F109" s="756"/>
      <c r="G109" s="757" t="s">
        <v>3593</v>
      </c>
      <c r="H109" s="753" t="s">
        <v>3949</v>
      </c>
      <c r="I109" s="758"/>
      <c r="J109" s="758"/>
    </row>
    <row r="110" spans="1:10" s="40" customFormat="1" ht="25.5">
      <c r="A110" s="749">
        <v>110</v>
      </c>
      <c r="B110" s="755">
        <v>200</v>
      </c>
      <c r="C110" s="755">
        <v>100</v>
      </c>
      <c r="D110" s="750">
        <v>900</v>
      </c>
      <c r="E110" s="750">
        <v>10</v>
      </c>
      <c r="F110" s="751"/>
      <c r="G110" s="752" t="s">
        <v>4385</v>
      </c>
      <c r="H110" s="753"/>
      <c r="I110" s="754">
        <v>650475.28</v>
      </c>
      <c r="J110" s="754">
        <v>143388</v>
      </c>
    </row>
    <row r="111" spans="1:10" s="40" customFormat="1" ht="25.5">
      <c r="A111" s="749">
        <v>110</v>
      </c>
      <c r="B111" s="755">
        <v>200</v>
      </c>
      <c r="C111" s="755">
        <v>100</v>
      </c>
      <c r="D111" s="750">
        <v>900</v>
      </c>
      <c r="E111" s="750">
        <v>20</v>
      </c>
      <c r="F111" s="751"/>
      <c r="G111" s="752" t="s">
        <v>4386</v>
      </c>
      <c r="H111" s="753"/>
      <c r="I111" s="754"/>
      <c r="J111" s="754"/>
    </row>
    <row r="112" spans="1:10" s="40" customFormat="1">
      <c r="A112" s="749">
        <v>110</v>
      </c>
      <c r="B112" s="755">
        <v>200</v>
      </c>
      <c r="C112" s="755">
        <v>100</v>
      </c>
      <c r="D112" s="750">
        <v>900</v>
      </c>
      <c r="E112" s="750">
        <v>30</v>
      </c>
      <c r="F112" s="751"/>
      <c r="G112" s="752" t="s">
        <v>4387</v>
      </c>
      <c r="H112" s="753"/>
      <c r="I112" s="754"/>
      <c r="J112" s="754"/>
    </row>
    <row r="113" spans="1:10" s="40" customFormat="1">
      <c r="A113" s="749">
        <v>110</v>
      </c>
      <c r="B113" s="755">
        <v>200</v>
      </c>
      <c r="C113" s="755">
        <v>100</v>
      </c>
      <c r="D113" s="750">
        <v>900</v>
      </c>
      <c r="E113" s="785">
        <v>90</v>
      </c>
      <c r="F113" s="786"/>
      <c r="G113" s="752" t="s">
        <v>4388</v>
      </c>
      <c r="H113" s="753"/>
      <c r="I113" s="754"/>
      <c r="J113" s="754"/>
    </row>
    <row r="114" spans="1:10" s="40" customFormat="1">
      <c r="A114" s="749">
        <v>110</v>
      </c>
      <c r="B114" s="755">
        <v>200</v>
      </c>
      <c r="C114" s="755">
        <v>100</v>
      </c>
      <c r="D114" s="750">
        <v>950</v>
      </c>
      <c r="E114" s="755"/>
      <c r="F114" s="756"/>
      <c r="G114" s="752" t="s">
        <v>4389</v>
      </c>
      <c r="H114" s="753" t="s">
        <v>3951</v>
      </c>
      <c r="I114" s="754">
        <v>103751.6</v>
      </c>
      <c r="J114" s="754"/>
    </row>
    <row r="115" spans="1:10" s="40" customFormat="1">
      <c r="A115" s="749">
        <v>110</v>
      </c>
      <c r="B115" s="755">
        <v>200</v>
      </c>
      <c r="C115" s="755">
        <v>200</v>
      </c>
      <c r="D115" s="755"/>
      <c r="E115" s="755"/>
      <c r="F115" s="756"/>
      <c r="G115" s="757" t="s">
        <v>4390</v>
      </c>
      <c r="H115" s="753" t="s">
        <v>3953</v>
      </c>
      <c r="I115" s="758"/>
      <c r="J115" s="758"/>
    </row>
    <row r="116" spans="1:10" s="40" customFormat="1" ht="25.5">
      <c r="A116" s="749">
        <v>110</v>
      </c>
      <c r="B116" s="755">
        <v>200</v>
      </c>
      <c r="C116" s="755">
        <v>200</v>
      </c>
      <c r="D116" s="750">
        <v>100</v>
      </c>
      <c r="E116" s="750"/>
      <c r="F116" s="751"/>
      <c r="G116" s="752" t="s">
        <v>4391</v>
      </c>
      <c r="H116" s="753" t="s">
        <v>3955</v>
      </c>
      <c r="I116" s="754">
        <v>5677953.4699999997</v>
      </c>
      <c r="J116" s="754">
        <v>7112876</v>
      </c>
    </row>
    <row r="117" spans="1:10" s="40" customFormat="1">
      <c r="A117" s="749">
        <v>110</v>
      </c>
      <c r="B117" s="755">
        <v>200</v>
      </c>
      <c r="C117" s="755">
        <v>200</v>
      </c>
      <c r="D117" s="750">
        <v>200</v>
      </c>
      <c r="E117" s="750"/>
      <c r="F117" s="751"/>
      <c r="G117" s="752" t="s">
        <v>4392</v>
      </c>
      <c r="H117" s="753" t="s">
        <v>3957</v>
      </c>
      <c r="I117" s="754"/>
      <c r="J117" s="754"/>
    </row>
    <row r="118" spans="1:10" s="40" customFormat="1">
      <c r="A118" s="749">
        <v>110</v>
      </c>
      <c r="B118" s="755">
        <v>200</v>
      </c>
      <c r="C118" s="755">
        <v>200</v>
      </c>
      <c r="D118" s="750">
        <v>300</v>
      </c>
      <c r="E118" s="750"/>
      <c r="F118" s="751"/>
      <c r="G118" s="752" t="s">
        <v>3597</v>
      </c>
      <c r="H118" s="753" t="s">
        <v>3959</v>
      </c>
      <c r="I118" s="754"/>
      <c r="J118" s="754"/>
    </row>
    <row r="119" spans="1:10" s="40" customFormat="1" ht="38.25">
      <c r="A119" s="749">
        <v>110</v>
      </c>
      <c r="B119" s="755">
        <v>200</v>
      </c>
      <c r="C119" s="755">
        <v>200</v>
      </c>
      <c r="D119" s="750">
        <v>350</v>
      </c>
      <c r="E119" s="755"/>
      <c r="F119" s="756"/>
      <c r="G119" s="752" t="s">
        <v>4393</v>
      </c>
      <c r="H119" s="753" t="s">
        <v>3961</v>
      </c>
      <c r="I119" s="754"/>
      <c r="J119" s="754"/>
    </row>
    <row r="120" spans="1:10" s="40" customFormat="1">
      <c r="A120" s="749">
        <v>110</v>
      </c>
      <c r="B120" s="755">
        <v>200</v>
      </c>
      <c r="C120" s="755">
        <v>200</v>
      </c>
      <c r="D120" s="750">
        <v>400</v>
      </c>
      <c r="E120" s="750"/>
      <c r="F120" s="751"/>
      <c r="G120" s="752" t="s">
        <v>4394</v>
      </c>
      <c r="H120" s="753" t="s">
        <v>3963</v>
      </c>
      <c r="I120" s="754"/>
      <c r="J120" s="754"/>
    </row>
    <row r="121" spans="1:10" s="40" customFormat="1" ht="25.5">
      <c r="A121" s="749">
        <v>110</v>
      </c>
      <c r="B121" s="755">
        <v>200</v>
      </c>
      <c r="C121" s="755">
        <v>200</v>
      </c>
      <c r="D121" s="750">
        <v>500</v>
      </c>
      <c r="E121" s="750"/>
      <c r="F121" s="751"/>
      <c r="G121" s="752" t="s">
        <v>3598</v>
      </c>
      <c r="H121" s="753" t="s">
        <v>3965</v>
      </c>
      <c r="I121" s="754"/>
      <c r="J121" s="754"/>
    </row>
    <row r="122" spans="1:10" s="40" customFormat="1">
      <c r="A122" s="749">
        <v>110</v>
      </c>
      <c r="B122" s="755">
        <v>200</v>
      </c>
      <c r="C122" s="755">
        <v>300</v>
      </c>
      <c r="D122" s="750"/>
      <c r="E122" s="755"/>
      <c r="F122" s="756"/>
      <c r="G122" s="752" t="s">
        <v>4395</v>
      </c>
      <c r="H122" s="753" t="s">
        <v>3967</v>
      </c>
      <c r="I122" s="754"/>
      <c r="J122" s="754"/>
    </row>
    <row r="123" spans="1:10" s="40" customFormat="1" ht="25.5">
      <c r="A123" s="749">
        <v>110</v>
      </c>
      <c r="B123" s="755">
        <v>200</v>
      </c>
      <c r="C123" s="755">
        <v>400</v>
      </c>
      <c r="D123" s="750"/>
      <c r="E123" s="755"/>
      <c r="F123" s="756"/>
      <c r="G123" s="752" t="s">
        <v>4396</v>
      </c>
      <c r="H123" s="753" t="s">
        <v>3969</v>
      </c>
      <c r="I123" s="754"/>
      <c r="J123" s="754"/>
    </row>
    <row r="124" spans="1:10" s="40" customFormat="1">
      <c r="A124" s="749">
        <v>110</v>
      </c>
      <c r="B124" s="755">
        <v>300</v>
      </c>
      <c r="C124" s="755"/>
      <c r="D124" s="755"/>
      <c r="E124" s="755"/>
      <c r="F124" s="756"/>
      <c r="G124" s="757" t="s">
        <v>3599</v>
      </c>
      <c r="H124" s="753" t="s">
        <v>3971</v>
      </c>
      <c r="I124" s="758"/>
      <c r="J124" s="758"/>
    </row>
    <row r="125" spans="1:10" s="40" customFormat="1">
      <c r="A125" s="749">
        <v>110</v>
      </c>
      <c r="B125" s="755">
        <v>300</v>
      </c>
      <c r="C125" s="750">
        <v>100</v>
      </c>
      <c r="D125" s="750"/>
      <c r="E125" s="750"/>
      <c r="F125" s="751"/>
      <c r="G125" s="752" t="s">
        <v>4397</v>
      </c>
      <c r="H125" s="753"/>
      <c r="I125" s="754"/>
      <c r="J125" s="754"/>
    </row>
    <row r="126" spans="1:10" s="40" customFormat="1">
      <c r="A126" s="749">
        <v>110</v>
      </c>
      <c r="B126" s="755">
        <v>300</v>
      </c>
      <c r="C126" s="750">
        <v>800</v>
      </c>
      <c r="D126" s="750"/>
      <c r="E126" s="750"/>
      <c r="F126" s="751"/>
      <c r="G126" s="752" t="s">
        <v>4365</v>
      </c>
      <c r="H126" s="753"/>
      <c r="I126" s="754"/>
      <c r="J126" s="754"/>
    </row>
    <row r="127" spans="1:10" s="40" customFormat="1">
      <c r="A127" s="749">
        <v>110</v>
      </c>
      <c r="B127" s="755">
        <v>300</v>
      </c>
      <c r="C127" s="750">
        <v>900</v>
      </c>
      <c r="D127" s="750"/>
      <c r="E127" s="750"/>
      <c r="F127" s="751"/>
      <c r="G127" s="784" t="s">
        <v>4376</v>
      </c>
      <c r="H127" s="753"/>
      <c r="I127" s="754"/>
      <c r="J127" s="754"/>
    </row>
    <row r="128" spans="1:10" s="40" customFormat="1">
      <c r="A128" s="749">
        <v>110</v>
      </c>
      <c r="B128" s="755">
        <v>400</v>
      </c>
      <c r="C128" s="755"/>
      <c r="D128" s="755"/>
      <c r="E128" s="755"/>
      <c r="F128" s="756"/>
      <c r="G128" s="757" t="s">
        <v>4398</v>
      </c>
      <c r="H128" s="753" t="s">
        <v>3973</v>
      </c>
      <c r="I128" s="787"/>
      <c r="J128" s="787"/>
    </row>
    <row r="129" spans="1:10" s="40" customFormat="1">
      <c r="A129" s="749">
        <v>110</v>
      </c>
      <c r="B129" s="755">
        <v>400</v>
      </c>
      <c r="C129" s="755">
        <v>100</v>
      </c>
      <c r="D129" s="755"/>
      <c r="E129" s="755"/>
      <c r="F129" s="756"/>
      <c r="G129" s="757" t="s">
        <v>3601</v>
      </c>
      <c r="H129" s="753"/>
      <c r="I129" s="787"/>
      <c r="J129" s="787"/>
    </row>
    <row r="130" spans="1:10" s="40" customFormat="1" ht="25.5">
      <c r="A130" s="749">
        <v>110</v>
      </c>
      <c r="B130" s="755">
        <v>400</v>
      </c>
      <c r="C130" s="755">
        <v>100</v>
      </c>
      <c r="D130" s="750">
        <v>100</v>
      </c>
      <c r="E130" s="750"/>
      <c r="F130" s="751"/>
      <c r="G130" s="752" t="s">
        <v>4399</v>
      </c>
      <c r="H130" s="753" t="s">
        <v>3977</v>
      </c>
      <c r="I130" s="754">
        <v>446043</v>
      </c>
      <c r="J130" s="754"/>
    </row>
    <row r="131" spans="1:10" s="40" customFormat="1" ht="25.5">
      <c r="A131" s="749">
        <v>110</v>
      </c>
      <c r="B131" s="755">
        <v>400</v>
      </c>
      <c r="C131" s="755">
        <v>100</v>
      </c>
      <c r="D131" s="755">
        <v>200</v>
      </c>
      <c r="E131" s="755"/>
      <c r="F131" s="756"/>
      <c r="G131" s="757" t="s">
        <v>4400</v>
      </c>
      <c r="H131" s="753" t="s">
        <v>3979</v>
      </c>
      <c r="I131" s="787"/>
      <c r="J131" s="787"/>
    </row>
    <row r="132" spans="1:10" s="40" customFormat="1" ht="25.5">
      <c r="A132" s="749">
        <v>110</v>
      </c>
      <c r="B132" s="755">
        <v>400</v>
      </c>
      <c r="C132" s="755">
        <v>100</v>
      </c>
      <c r="D132" s="755">
        <v>200</v>
      </c>
      <c r="E132" s="750">
        <v>10</v>
      </c>
      <c r="F132" s="751"/>
      <c r="G132" s="752" t="s">
        <v>4400</v>
      </c>
      <c r="H132" s="753"/>
      <c r="I132" s="754">
        <v>236454.89</v>
      </c>
      <c r="J132" s="754">
        <v>2374453</v>
      </c>
    </row>
    <row r="133" spans="1:10" s="40" customFormat="1">
      <c r="A133" s="749">
        <v>110</v>
      </c>
      <c r="B133" s="755">
        <v>400</v>
      </c>
      <c r="C133" s="755">
        <v>100</v>
      </c>
      <c r="D133" s="755">
        <v>200</v>
      </c>
      <c r="E133" s="750">
        <v>80</v>
      </c>
      <c r="F133" s="751"/>
      <c r="G133" s="752" t="s">
        <v>4365</v>
      </c>
      <c r="H133" s="753"/>
      <c r="I133" s="754">
        <v>581212.29</v>
      </c>
      <c r="J133" s="754">
        <v>406808</v>
      </c>
    </row>
    <row r="134" spans="1:10" s="40" customFormat="1">
      <c r="A134" s="749">
        <v>110</v>
      </c>
      <c r="B134" s="755">
        <v>400</v>
      </c>
      <c r="C134" s="755">
        <v>100</v>
      </c>
      <c r="D134" s="755">
        <v>200</v>
      </c>
      <c r="E134" s="750">
        <v>90</v>
      </c>
      <c r="F134" s="751"/>
      <c r="G134" s="784" t="s">
        <v>4376</v>
      </c>
      <c r="H134" s="753"/>
      <c r="I134" s="754"/>
      <c r="J134" s="754"/>
    </row>
    <row r="135" spans="1:10" s="40" customFormat="1">
      <c r="A135" s="749">
        <v>110</v>
      </c>
      <c r="B135" s="755">
        <v>400</v>
      </c>
      <c r="C135" s="755">
        <v>100</v>
      </c>
      <c r="D135" s="755">
        <v>300</v>
      </c>
      <c r="E135" s="755"/>
      <c r="F135" s="756"/>
      <c r="G135" s="757" t="s">
        <v>4401</v>
      </c>
      <c r="H135" s="753" t="s">
        <v>3981</v>
      </c>
      <c r="I135" s="758"/>
      <c r="J135" s="758"/>
    </row>
    <row r="136" spans="1:10" s="40" customFormat="1">
      <c r="A136" s="749">
        <v>110</v>
      </c>
      <c r="B136" s="755">
        <v>400</v>
      </c>
      <c r="C136" s="755">
        <v>100</v>
      </c>
      <c r="D136" s="755">
        <v>300</v>
      </c>
      <c r="E136" s="750">
        <v>10</v>
      </c>
      <c r="F136" s="751"/>
      <c r="G136" s="752" t="s">
        <v>4402</v>
      </c>
      <c r="H136" s="753"/>
      <c r="I136" s="368">
        <v>1580091.71</v>
      </c>
      <c r="J136" s="368">
        <v>5135648</v>
      </c>
    </row>
    <row r="137" spans="1:10" s="40" customFormat="1">
      <c r="A137" s="749">
        <v>110</v>
      </c>
      <c r="B137" s="755">
        <v>400</v>
      </c>
      <c r="C137" s="755">
        <v>100</v>
      </c>
      <c r="D137" s="755">
        <v>300</v>
      </c>
      <c r="E137" s="750">
        <v>80</v>
      </c>
      <c r="F137" s="751"/>
      <c r="G137" s="752" t="s">
        <v>4365</v>
      </c>
      <c r="H137" s="753"/>
      <c r="I137" s="368">
        <v>156547.73000000001</v>
      </c>
      <c r="J137" s="368">
        <v>1547</v>
      </c>
    </row>
    <row r="138" spans="1:10" s="40" customFormat="1">
      <c r="A138" s="749">
        <v>110</v>
      </c>
      <c r="B138" s="755">
        <v>400</v>
      </c>
      <c r="C138" s="755">
        <v>100</v>
      </c>
      <c r="D138" s="755">
        <v>300</v>
      </c>
      <c r="E138" s="750">
        <v>90</v>
      </c>
      <c r="F138" s="751"/>
      <c r="G138" s="752" t="s">
        <v>4366</v>
      </c>
      <c r="H138" s="753"/>
      <c r="I138" s="754"/>
      <c r="J138" s="754"/>
    </row>
    <row r="139" spans="1:10" s="40" customFormat="1">
      <c r="A139" s="749">
        <v>110</v>
      </c>
      <c r="B139" s="755">
        <v>400</v>
      </c>
      <c r="C139" s="755">
        <v>200</v>
      </c>
      <c r="D139" s="755"/>
      <c r="E139" s="755"/>
      <c r="F139" s="756"/>
      <c r="G139" s="757" t="s">
        <v>4403</v>
      </c>
      <c r="H139" s="753" t="s">
        <v>3983</v>
      </c>
      <c r="I139" s="754"/>
      <c r="J139" s="754"/>
    </row>
    <row r="140" spans="1:10" s="40" customFormat="1" ht="38.25">
      <c r="A140" s="749">
        <v>110</v>
      </c>
      <c r="B140" s="755">
        <v>400</v>
      </c>
      <c r="C140" s="755">
        <v>250</v>
      </c>
      <c r="D140" s="755"/>
      <c r="E140" s="755"/>
      <c r="F140" s="756"/>
      <c r="G140" s="757" t="s">
        <v>4404</v>
      </c>
      <c r="H140" s="753" t="s">
        <v>3985</v>
      </c>
      <c r="I140" s="754"/>
      <c r="J140" s="754"/>
    </row>
    <row r="141" spans="1:10" s="40" customFormat="1">
      <c r="A141" s="749">
        <v>110</v>
      </c>
      <c r="B141" s="755">
        <v>400</v>
      </c>
      <c r="C141" s="755">
        <v>300</v>
      </c>
      <c r="D141" s="755"/>
      <c r="E141" s="755"/>
      <c r="F141" s="756"/>
      <c r="G141" s="757" t="s">
        <v>4405</v>
      </c>
      <c r="H141" s="753" t="s">
        <v>3987</v>
      </c>
      <c r="I141" s="758"/>
      <c r="J141" s="758"/>
    </row>
    <row r="142" spans="1:10" s="40" customFormat="1">
      <c r="A142" s="749">
        <v>110</v>
      </c>
      <c r="B142" s="755">
        <v>400</v>
      </c>
      <c r="C142" s="755">
        <v>300</v>
      </c>
      <c r="D142" s="750">
        <v>100</v>
      </c>
      <c r="E142" s="750"/>
      <c r="F142" s="751"/>
      <c r="G142" s="752" t="s">
        <v>4405</v>
      </c>
      <c r="H142" s="753"/>
      <c r="I142" s="754">
        <v>599705.94999999995</v>
      </c>
      <c r="J142" s="754">
        <v>628009</v>
      </c>
    </row>
    <row r="143" spans="1:10" s="40" customFormat="1">
      <c r="A143" s="749">
        <v>110</v>
      </c>
      <c r="B143" s="755">
        <v>400</v>
      </c>
      <c r="C143" s="755">
        <v>300</v>
      </c>
      <c r="D143" s="750">
        <v>800</v>
      </c>
      <c r="E143" s="750"/>
      <c r="F143" s="751"/>
      <c r="G143" s="752" t="s">
        <v>4365</v>
      </c>
      <c r="H143" s="753"/>
      <c r="I143" s="754">
        <v>12838.16</v>
      </c>
      <c r="J143" s="754">
        <v>19883</v>
      </c>
    </row>
    <row r="144" spans="1:10" s="40" customFormat="1">
      <c r="A144" s="749">
        <v>110</v>
      </c>
      <c r="B144" s="755">
        <v>400</v>
      </c>
      <c r="C144" s="755">
        <v>300</v>
      </c>
      <c r="D144" s="750">
        <v>900</v>
      </c>
      <c r="E144" s="750"/>
      <c r="F144" s="751"/>
      <c r="G144" s="752" t="s">
        <v>4366</v>
      </c>
      <c r="H144" s="753"/>
      <c r="I144" s="754"/>
      <c r="J144" s="754"/>
    </row>
    <row r="145" spans="1:10" s="40" customFormat="1" ht="25.5">
      <c r="A145" s="749">
        <v>110</v>
      </c>
      <c r="B145" s="755">
        <v>400</v>
      </c>
      <c r="C145" s="755">
        <v>350</v>
      </c>
      <c r="D145" s="755"/>
      <c r="E145" s="755"/>
      <c r="F145" s="756"/>
      <c r="G145" s="757" t="s">
        <v>4406</v>
      </c>
      <c r="H145" s="753" t="s">
        <v>3989</v>
      </c>
      <c r="I145" s="754"/>
      <c r="J145" s="754"/>
    </row>
    <row r="146" spans="1:10" s="40" customFormat="1">
      <c r="A146" s="749">
        <v>110</v>
      </c>
      <c r="B146" s="755">
        <v>500</v>
      </c>
      <c r="C146" s="755"/>
      <c r="D146" s="755"/>
      <c r="E146" s="755"/>
      <c r="F146" s="756"/>
      <c r="G146" s="757" t="s">
        <v>3603</v>
      </c>
      <c r="H146" s="753"/>
      <c r="I146" s="758"/>
      <c r="J146" s="758"/>
    </row>
    <row r="147" spans="1:10" s="40" customFormat="1">
      <c r="A147" s="749">
        <v>110</v>
      </c>
      <c r="B147" s="755">
        <v>500</v>
      </c>
      <c r="C147" s="750">
        <v>100</v>
      </c>
      <c r="D147" s="750"/>
      <c r="E147" s="750"/>
      <c r="F147" s="751"/>
      <c r="G147" s="752" t="s">
        <v>4407</v>
      </c>
      <c r="H147" s="753" t="s">
        <v>3993</v>
      </c>
      <c r="I147" s="754"/>
      <c r="J147" s="754"/>
    </row>
    <row r="148" spans="1:10" s="40" customFormat="1">
      <c r="A148" s="749">
        <v>110</v>
      </c>
      <c r="B148" s="755">
        <v>500</v>
      </c>
      <c r="C148" s="750">
        <v>200</v>
      </c>
      <c r="D148" s="750"/>
      <c r="E148" s="750"/>
      <c r="F148" s="751"/>
      <c r="G148" s="752" t="s">
        <v>4408</v>
      </c>
      <c r="H148" s="753" t="s">
        <v>3995</v>
      </c>
      <c r="I148" s="754"/>
      <c r="J148" s="754"/>
    </row>
    <row r="149" spans="1:10" s="40" customFormat="1">
      <c r="A149" s="749">
        <v>110</v>
      </c>
      <c r="B149" s="755">
        <v>500</v>
      </c>
      <c r="C149" s="788">
        <v>300</v>
      </c>
      <c r="D149" s="755"/>
      <c r="E149" s="755"/>
      <c r="F149" s="756"/>
      <c r="G149" s="757" t="s">
        <v>4409</v>
      </c>
      <c r="H149" s="753" t="s">
        <v>3997</v>
      </c>
      <c r="I149" s="758"/>
      <c r="J149" s="758"/>
    </row>
    <row r="150" spans="1:10" s="40" customFormat="1">
      <c r="A150" s="749">
        <v>110</v>
      </c>
      <c r="B150" s="755">
        <v>500</v>
      </c>
      <c r="C150" s="788">
        <v>300</v>
      </c>
      <c r="D150" s="750">
        <v>100</v>
      </c>
      <c r="E150" s="750"/>
      <c r="F150" s="751"/>
      <c r="G150" s="752" t="s">
        <v>4409</v>
      </c>
      <c r="H150" s="753"/>
      <c r="I150" s="754"/>
      <c r="J150" s="754"/>
    </row>
    <row r="151" spans="1:10" s="40" customFormat="1">
      <c r="A151" s="749">
        <v>110</v>
      </c>
      <c r="B151" s="755">
        <v>500</v>
      </c>
      <c r="C151" s="788">
        <v>300</v>
      </c>
      <c r="D151" s="750">
        <v>800</v>
      </c>
      <c r="E151" s="750"/>
      <c r="F151" s="751"/>
      <c r="G151" s="752" t="s">
        <v>4365</v>
      </c>
      <c r="H151" s="753"/>
      <c r="I151" s="754"/>
      <c r="J151" s="754"/>
    </row>
    <row r="152" spans="1:10" s="40" customFormat="1">
      <c r="A152" s="749">
        <v>110</v>
      </c>
      <c r="B152" s="755">
        <v>500</v>
      </c>
      <c r="C152" s="788">
        <v>300</v>
      </c>
      <c r="D152" s="750">
        <v>900</v>
      </c>
      <c r="E152" s="750"/>
      <c r="F152" s="751"/>
      <c r="G152" s="784" t="s">
        <v>4376</v>
      </c>
      <c r="H152" s="753"/>
      <c r="I152" s="754"/>
      <c r="J152" s="754"/>
    </row>
    <row r="153" spans="1:10" s="40" customFormat="1">
      <c r="A153" s="749">
        <v>110</v>
      </c>
      <c r="B153" s="755">
        <v>600</v>
      </c>
      <c r="C153" s="755"/>
      <c r="D153" s="755"/>
      <c r="E153" s="755"/>
      <c r="F153" s="756"/>
      <c r="G153" s="757" t="s">
        <v>3604</v>
      </c>
      <c r="H153" s="753" t="s">
        <v>3999</v>
      </c>
      <c r="I153" s="758"/>
      <c r="J153" s="758"/>
    </row>
    <row r="154" spans="1:10" s="40" customFormat="1">
      <c r="A154" s="749">
        <v>110</v>
      </c>
      <c r="B154" s="755">
        <v>600</v>
      </c>
      <c r="C154" s="750">
        <v>100</v>
      </c>
      <c r="D154" s="750"/>
      <c r="E154" s="750"/>
      <c r="F154" s="751"/>
      <c r="G154" s="752" t="s">
        <v>114</v>
      </c>
      <c r="H154" s="753"/>
      <c r="I154" s="754"/>
      <c r="J154" s="754"/>
    </row>
    <row r="155" spans="1:10" s="40" customFormat="1">
      <c r="A155" s="749">
        <v>110</v>
      </c>
      <c r="B155" s="755">
        <v>600</v>
      </c>
      <c r="C155" s="750">
        <v>200</v>
      </c>
      <c r="D155" s="750"/>
      <c r="E155" s="750"/>
      <c r="F155" s="751"/>
      <c r="G155" s="752" t="s">
        <v>109</v>
      </c>
      <c r="H155" s="753"/>
      <c r="I155" s="754"/>
      <c r="J155" s="754"/>
    </row>
    <row r="156" spans="1:10" s="40" customFormat="1">
      <c r="A156" s="749">
        <v>110</v>
      </c>
      <c r="B156" s="755">
        <v>600</v>
      </c>
      <c r="C156" s="750">
        <v>300</v>
      </c>
      <c r="D156" s="750"/>
      <c r="E156" s="750"/>
      <c r="F156" s="751"/>
      <c r="G156" s="752" t="s">
        <v>4410</v>
      </c>
      <c r="H156" s="753"/>
      <c r="I156" s="754"/>
      <c r="J156" s="754"/>
    </row>
    <row r="157" spans="1:10" s="40" customFormat="1">
      <c r="A157" s="749">
        <v>110</v>
      </c>
      <c r="B157" s="755">
        <v>600</v>
      </c>
      <c r="C157" s="750">
        <v>400</v>
      </c>
      <c r="D157" s="750"/>
      <c r="E157" s="750"/>
      <c r="F157" s="751"/>
      <c r="G157" s="752" t="s">
        <v>4411</v>
      </c>
      <c r="H157" s="753"/>
      <c r="I157" s="754"/>
      <c r="J157" s="754"/>
    </row>
    <row r="158" spans="1:10" s="40" customFormat="1">
      <c r="A158" s="749">
        <v>110</v>
      </c>
      <c r="B158" s="755">
        <v>600</v>
      </c>
      <c r="C158" s="750">
        <v>500</v>
      </c>
      <c r="D158" s="750"/>
      <c r="E158" s="750"/>
      <c r="F158" s="751"/>
      <c r="G158" s="752" t="s">
        <v>4412</v>
      </c>
      <c r="H158" s="753"/>
      <c r="I158" s="754"/>
      <c r="J158" s="754"/>
    </row>
    <row r="159" spans="1:10" s="40" customFormat="1">
      <c r="A159" s="749">
        <v>110</v>
      </c>
      <c r="B159" s="755">
        <v>600</v>
      </c>
      <c r="C159" s="750">
        <v>600</v>
      </c>
      <c r="D159" s="750"/>
      <c r="E159" s="750"/>
      <c r="F159" s="751"/>
      <c r="G159" s="752" t="s">
        <v>4413</v>
      </c>
      <c r="H159" s="753"/>
      <c r="I159" s="754"/>
      <c r="J159" s="754"/>
    </row>
    <row r="160" spans="1:10" s="40" customFormat="1">
      <c r="A160" s="749">
        <v>110</v>
      </c>
      <c r="B160" s="755">
        <v>700</v>
      </c>
      <c r="C160" s="755"/>
      <c r="D160" s="755"/>
      <c r="E160" s="755"/>
      <c r="F160" s="756"/>
      <c r="G160" s="757" t="s">
        <v>3605</v>
      </c>
      <c r="H160" s="753"/>
      <c r="I160" s="758"/>
      <c r="J160" s="758"/>
    </row>
    <row r="161" spans="1:10" s="40" customFormat="1">
      <c r="A161" s="749">
        <v>110</v>
      </c>
      <c r="B161" s="755">
        <v>700</v>
      </c>
      <c r="C161" s="755">
        <v>100</v>
      </c>
      <c r="D161" s="755"/>
      <c r="E161" s="755"/>
      <c r="F161" s="756"/>
      <c r="G161" s="757" t="s">
        <v>4414</v>
      </c>
      <c r="H161" s="753" t="s">
        <v>4003</v>
      </c>
      <c r="I161" s="758"/>
      <c r="J161" s="758"/>
    </row>
    <row r="162" spans="1:10" s="40" customFormat="1">
      <c r="A162" s="749">
        <v>110</v>
      </c>
      <c r="B162" s="755">
        <v>700</v>
      </c>
      <c r="C162" s="755">
        <v>100</v>
      </c>
      <c r="D162" s="750">
        <v>100</v>
      </c>
      <c r="E162" s="750"/>
      <c r="F162" s="751"/>
      <c r="G162" s="752" t="s">
        <v>4415</v>
      </c>
      <c r="H162" s="753"/>
      <c r="I162" s="754">
        <v>660024.82999999996</v>
      </c>
      <c r="J162" s="754">
        <v>829185</v>
      </c>
    </row>
    <row r="163" spans="1:10" s="40" customFormat="1">
      <c r="A163" s="749">
        <v>110</v>
      </c>
      <c r="B163" s="755">
        <v>700</v>
      </c>
      <c r="C163" s="755">
        <v>100</v>
      </c>
      <c r="D163" s="750">
        <v>200</v>
      </c>
      <c r="E163" s="750"/>
      <c r="F163" s="751"/>
      <c r="G163" s="752" t="s">
        <v>4416</v>
      </c>
      <c r="H163" s="753"/>
      <c r="I163" s="754">
        <v>847056.31</v>
      </c>
      <c r="J163" s="754">
        <v>127813</v>
      </c>
    </row>
    <row r="164" spans="1:10" s="40" customFormat="1">
      <c r="A164" s="749">
        <v>110</v>
      </c>
      <c r="B164" s="755">
        <v>700</v>
      </c>
      <c r="C164" s="755">
        <v>100</v>
      </c>
      <c r="D164" s="750">
        <v>300</v>
      </c>
      <c r="E164" s="750"/>
      <c r="F164" s="751"/>
      <c r="G164" s="752" t="s">
        <v>4417</v>
      </c>
      <c r="H164" s="753"/>
      <c r="I164" s="754">
        <v>95462.46</v>
      </c>
      <c r="J164" s="754">
        <v>95462</v>
      </c>
    </row>
    <row r="165" spans="1:10" s="40" customFormat="1">
      <c r="A165" s="749">
        <v>110</v>
      </c>
      <c r="B165" s="755">
        <v>700</v>
      </c>
      <c r="C165" s="755">
        <v>100</v>
      </c>
      <c r="D165" s="750">
        <v>800</v>
      </c>
      <c r="E165" s="750"/>
      <c r="F165" s="751"/>
      <c r="G165" s="752" t="s">
        <v>4365</v>
      </c>
      <c r="H165" s="753"/>
      <c r="I165" s="754">
        <v>69998.28</v>
      </c>
      <c r="J165" s="754">
        <v>37007</v>
      </c>
    </row>
    <row r="166" spans="1:10" s="40" customFormat="1">
      <c r="A166" s="749">
        <v>110</v>
      </c>
      <c r="B166" s="755">
        <v>700</v>
      </c>
      <c r="C166" s="755">
        <v>100</v>
      </c>
      <c r="D166" s="750">
        <v>900</v>
      </c>
      <c r="E166" s="750"/>
      <c r="F166" s="751"/>
      <c r="G166" s="784" t="s">
        <v>4376</v>
      </c>
      <c r="H166" s="753"/>
      <c r="I166" s="754"/>
      <c r="J166" s="754"/>
    </row>
    <row r="167" spans="1:10" s="40" customFormat="1">
      <c r="A167" s="749">
        <v>110</v>
      </c>
      <c r="B167" s="755">
        <v>700</v>
      </c>
      <c r="C167" s="750">
        <v>200</v>
      </c>
      <c r="D167" s="750"/>
      <c r="E167" s="750"/>
      <c r="F167" s="751"/>
      <c r="G167" s="752" t="s">
        <v>4418</v>
      </c>
      <c r="H167" s="753" t="s">
        <v>4005</v>
      </c>
      <c r="I167" s="754"/>
      <c r="J167" s="754"/>
    </row>
    <row r="168" spans="1:10" s="40" customFormat="1">
      <c r="A168" s="749">
        <v>110</v>
      </c>
      <c r="B168" s="755">
        <v>700</v>
      </c>
      <c r="C168" s="755">
        <v>300</v>
      </c>
      <c r="D168" s="755"/>
      <c r="E168" s="755"/>
      <c r="F168" s="756"/>
      <c r="G168" s="757" t="s">
        <v>4419</v>
      </c>
      <c r="H168" s="753" t="s">
        <v>4007</v>
      </c>
      <c r="I168" s="789"/>
      <c r="J168" s="789"/>
    </row>
    <row r="169" spans="1:10" s="40" customFormat="1">
      <c r="A169" s="749">
        <v>110</v>
      </c>
      <c r="B169" s="755">
        <v>700</v>
      </c>
      <c r="C169" s="755">
        <v>300</v>
      </c>
      <c r="D169" s="750">
        <v>100</v>
      </c>
      <c r="E169" s="750"/>
      <c r="F169" s="751"/>
      <c r="G169" s="752" t="s">
        <v>4420</v>
      </c>
      <c r="H169" s="753"/>
      <c r="I169" s="754"/>
      <c r="J169" s="754"/>
    </row>
    <row r="170" spans="1:10" s="40" customFormat="1">
      <c r="A170" s="749">
        <v>110</v>
      </c>
      <c r="B170" s="755">
        <v>700</v>
      </c>
      <c r="C170" s="755">
        <v>300</v>
      </c>
      <c r="D170" s="750">
        <v>200</v>
      </c>
      <c r="E170" s="750"/>
      <c r="F170" s="751"/>
      <c r="G170" s="752" t="s">
        <v>4421</v>
      </c>
      <c r="H170" s="753"/>
      <c r="I170" s="754">
        <v>407071.55</v>
      </c>
      <c r="J170" s="754">
        <v>288155</v>
      </c>
    </row>
    <row r="171" spans="1:10" s="40" customFormat="1">
      <c r="A171" s="749">
        <v>110</v>
      </c>
      <c r="B171" s="755">
        <v>700</v>
      </c>
      <c r="C171" s="755">
        <v>300</v>
      </c>
      <c r="D171" s="750">
        <v>800</v>
      </c>
      <c r="E171" s="750"/>
      <c r="F171" s="751"/>
      <c r="G171" s="752" t="s">
        <v>4365</v>
      </c>
      <c r="H171" s="753"/>
      <c r="I171" s="754">
        <v>60353.71</v>
      </c>
      <c r="J171" s="754">
        <v>55783</v>
      </c>
    </row>
    <row r="172" spans="1:10" s="40" customFormat="1">
      <c r="A172" s="749">
        <v>110</v>
      </c>
      <c r="B172" s="755">
        <v>700</v>
      </c>
      <c r="C172" s="755">
        <v>300</v>
      </c>
      <c r="D172" s="750">
        <v>900</v>
      </c>
      <c r="E172" s="750"/>
      <c r="F172" s="751"/>
      <c r="G172" s="784" t="s">
        <v>4376</v>
      </c>
      <c r="H172" s="753"/>
      <c r="I172" s="754"/>
      <c r="J172" s="754"/>
    </row>
    <row r="173" spans="1:10" s="40" customFormat="1">
      <c r="A173" s="749">
        <v>110</v>
      </c>
      <c r="B173" s="755">
        <v>700</v>
      </c>
      <c r="C173" s="750">
        <v>400</v>
      </c>
      <c r="D173" s="750"/>
      <c r="E173" s="750"/>
      <c r="F173" s="751"/>
      <c r="G173" s="752" t="s">
        <v>4422</v>
      </c>
      <c r="H173" s="753" t="s">
        <v>4009</v>
      </c>
      <c r="I173" s="754"/>
      <c r="J173" s="754"/>
    </row>
    <row r="174" spans="1:10" s="40" customFormat="1">
      <c r="A174" s="749">
        <v>110</v>
      </c>
      <c r="B174" s="755">
        <v>700</v>
      </c>
      <c r="C174" s="755">
        <v>500</v>
      </c>
      <c r="D174" s="755"/>
      <c r="E174" s="755"/>
      <c r="F174" s="756"/>
      <c r="G174" s="757" t="s">
        <v>4423</v>
      </c>
      <c r="H174" s="753" t="s">
        <v>4011</v>
      </c>
      <c r="I174" s="789"/>
      <c r="J174" s="789"/>
    </row>
    <row r="175" spans="1:10" s="40" customFormat="1">
      <c r="A175" s="749"/>
      <c r="B175" s="755"/>
      <c r="C175" s="755"/>
      <c r="D175" s="755"/>
      <c r="E175" s="755"/>
      <c r="F175" s="756"/>
      <c r="G175" s="752" t="s">
        <v>4423</v>
      </c>
      <c r="H175" s="790" t="s">
        <v>4013</v>
      </c>
      <c r="I175" s="791"/>
      <c r="J175" s="791"/>
    </row>
    <row r="176" spans="1:10" s="40" customFormat="1">
      <c r="A176" s="749">
        <v>110</v>
      </c>
      <c r="B176" s="755">
        <v>700</v>
      </c>
      <c r="C176" s="755">
        <v>500</v>
      </c>
      <c r="D176" s="755">
        <v>100</v>
      </c>
      <c r="E176" s="755"/>
      <c r="F176" s="756"/>
      <c r="G176" s="757" t="s">
        <v>4424</v>
      </c>
      <c r="H176" s="790" t="s">
        <v>4013</v>
      </c>
      <c r="I176" s="792"/>
      <c r="J176" s="792"/>
    </row>
    <row r="177" spans="1:10" s="40" customFormat="1">
      <c r="A177" s="749">
        <v>110</v>
      </c>
      <c r="B177" s="755">
        <v>700</v>
      </c>
      <c r="C177" s="755">
        <v>500</v>
      </c>
      <c r="D177" s="755">
        <v>100</v>
      </c>
      <c r="E177" s="750">
        <v>10</v>
      </c>
      <c r="F177" s="751"/>
      <c r="G177" s="752" t="s">
        <v>4425</v>
      </c>
      <c r="H177" s="790" t="s">
        <v>4013</v>
      </c>
      <c r="I177" s="754">
        <v>3418.65</v>
      </c>
      <c r="J177" s="754">
        <v>9190</v>
      </c>
    </row>
    <row r="178" spans="1:10" s="40" customFormat="1">
      <c r="A178" s="749">
        <v>110</v>
      </c>
      <c r="B178" s="755">
        <v>700</v>
      </c>
      <c r="C178" s="755">
        <v>500</v>
      </c>
      <c r="D178" s="755">
        <v>100</v>
      </c>
      <c r="E178" s="750">
        <v>90</v>
      </c>
      <c r="F178" s="751"/>
      <c r="G178" s="752" t="s">
        <v>4426</v>
      </c>
      <c r="H178" s="790" t="s">
        <v>4013</v>
      </c>
      <c r="I178" s="754">
        <v>6169.22</v>
      </c>
      <c r="J178" s="754">
        <v>6679</v>
      </c>
    </row>
    <row r="179" spans="1:10" s="40" customFormat="1">
      <c r="A179" s="749">
        <v>110</v>
      </c>
      <c r="B179" s="755">
        <v>700</v>
      </c>
      <c r="C179" s="755">
        <v>500</v>
      </c>
      <c r="D179" s="750">
        <v>200</v>
      </c>
      <c r="E179" s="750"/>
      <c r="F179" s="751"/>
      <c r="G179" s="752" t="s">
        <v>4427</v>
      </c>
      <c r="H179" s="790" t="s">
        <v>4013</v>
      </c>
      <c r="I179" s="754"/>
      <c r="J179" s="754"/>
    </row>
    <row r="180" spans="1:10" s="40" customFormat="1">
      <c r="A180" s="749">
        <v>110</v>
      </c>
      <c r="B180" s="755">
        <v>700</v>
      </c>
      <c r="C180" s="755">
        <v>500</v>
      </c>
      <c r="D180" s="750">
        <v>300</v>
      </c>
      <c r="E180" s="750"/>
      <c r="F180" s="751"/>
      <c r="G180" s="752" t="s">
        <v>4428</v>
      </c>
      <c r="H180" s="790" t="s">
        <v>4013</v>
      </c>
      <c r="I180" s="754"/>
      <c r="J180" s="754"/>
    </row>
    <row r="181" spans="1:10" s="40" customFormat="1">
      <c r="A181" s="749">
        <v>110</v>
      </c>
      <c r="B181" s="755">
        <v>700</v>
      </c>
      <c r="C181" s="755">
        <v>500</v>
      </c>
      <c r="D181" s="750">
        <v>400</v>
      </c>
      <c r="E181" s="750"/>
      <c r="F181" s="751"/>
      <c r="G181" s="752" t="s">
        <v>3623</v>
      </c>
      <c r="H181" s="790" t="s">
        <v>4013</v>
      </c>
      <c r="I181" s="754"/>
      <c r="J181" s="754"/>
    </row>
    <row r="182" spans="1:10" s="40" customFormat="1">
      <c r="A182" s="749">
        <v>110</v>
      </c>
      <c r="B182" s="755">
        <v>700</v>
      </c>
      <c r="C182" s="755">
        <v>500</v>
      </c>
      <c r="D182" s="750">
        <v>900</v>
      </c>
      <c r="E182" s="750"/>
      <c r="F182" s="793"/>
      <c r="G182" s="752" t="s">
        <v>4423</v>
      </c>
      <c r="H182" s="790" t="s">
        <v>4013</v>
      </c>
      <c r="I182" s="754">
        <v>266914.51</v>
      </c>
      <c r="J182" s="754">
        <v>178178</v>
      </c>
    </row>
    <row r="183" spans="1:10" s="40" customFormat="1">
      <c r="A183" s="749">
        <v>110</v>
      </c>
      <c r="B183" s="755">
        <v>700</v>
      </c>
      <c r="C183" s="755">
        <v>500</v>
      </c>
      <c r="D183" s="750">
        <v>910</v>
      </c>
      <c r="E183" s="750"/>
      <c r="F183" s="793"/>
      <c r="G183" s="794" t="s">
        <v>4429</v>
      </c>
      <c r="H183" s="753" t="s">
        <v>4015</v>
      </c>
      <c r="I183" s="754"/>
      <c r="J183" s="754"/>
    </row>
    <row r="184" spans="1:10" s="40" customFormat="1" ht="25.5">
      <c r="A184" s="749">
        <v>110</v>
      </c>
      <c r="B184" s="755">
        <v>700</v>
      </c>
      <c r="C184" s="755">
        <v>600</v>
      </c>
      <c r="D184" s="788"/>
      <c r="E184" s="788"/>
      <c r="F184" s="795"/>
      <c r="G184" s="796" t="s">
        <v>4430</v>
      </c>
      <c r="H184" s="753" t="s">
        <v>4017</v>
      </c>
      <c r="I184" s="789"/>
      <c r="J184" s="789"/>
    </row>
    <row r="185" spans="1:10" s="40" customFormat="1" ht="25.5">
      <c r="A185" s="749">
        <v>110</v>
      </c>
      <c r="B185" s="755">
        <v>700</v>
      </c>
      <c r="C185" s="755">
        <v>600</v>
      </c>
      <c r="D185" s="797">
        <v>100</v>
      </c>
      <c r="E185" s="797"/>
      <c r="F185" s="798"/>
      <c r="G185" s="799" t="s">
        <v>4430</v>
      </c>
      <c r="H185" s="753" t="s">
        <v>4019</v>
      </c>
      <c r="I185" s="754"/>
      <c r="J185" s="754"/>
    </row>
    <row r="186" spans="1:10" s="40" customFormat="1">
      <c r="A186" s="749">
        <v>110</v>
      </c>
      <c r="B186" s="755">
        <v>700</v>
      </c>
      <c r="C186" s="755">
        <v>600</v>
      </c>
      <c r="D186" s="797">
        <v>200</v>
      </c>
      <c r="E186" s="797"/>
      <c r="F186" s="798"/>
      <c r="G186" s="799" t="s">
        <v>4431</v>
      </c>
      <c r="H186" s="753" t="s">
        <v>4021</v>
      </c>
      <c r="I186" s="754"/>
      <c r="J186" s="754"/>
    </row>
    <row r="187" spans="1:10" s="40" customFormat="1">
      <c r="A187" s="759">
        <v>120</v>
      </c>
      <c r="B187" s="760">
        <v>0</v>
      </c>
      <c r="C187" s="760">
        <v>0</v>
      </c>
      <c r="D187" s="760">
        <v>0</v>
      </c>
      <c r="E187" s="760">
        <v>0</v>
      </c>
      <c r="F187" s="761">
        <v>0</v>
      </c>
      <c r="G187" s="762" t="s">
        <v>4432</v>
      </c>
      <c r="H187" s="800"/>
      <c r="I187" s="791"/>
      <c r="J187" s="791"/>
    </row>
    <row r="188" spans="1:10" s="40" customFormat="1">
      <c r="A188" s="749">
        <v>120</v>
      </c>
      <c r="B188" s="755">
        <v>100</v>
      </c>
      <c r="C188" s="755"/>
      <c r="D188" s="755"/>
      <c r="E188" s="755"/>
      <c r="F188" s="756"/>
      <c r="G188" s="757" t="s">
        <v>3607</v>
      </c>
      <c r="H188" s="753" t="s">
        <v>4025</v>
      </c>
      <c r="I188" s="789"/>
      <c r="J188" s="789"/>
    </row>
    <row r="189" spans="1:10" s="40" customFormat="1">
      <c r="A189" s="749">
        <v>120</v>
      </c>
      <c r="B189" s="755">
        <v>100</v>
      </c>
      <c r="C189" s="750">
        <v>100</v>
      </c>
      <c r="D189" s="750"/>
      <c r="E189" s="750"/>
      <c r="F189" s="751"/>
      <c r="G189" s="752" t="s">
        <v>4433</v>
      </c>
      <c r="H189" s="771"/>
      <c r="I189" s="754"/>
      <c r="J189" s="754"/>
    </row>
    <row r="190" spans="1:10" s="747" customFormat="1">
      <c r="A190" s="749">
        <v>120</v>
      </c>
      <c r="B190" s="755">
        <v>100</v>
      </c>
      <c r="C190" s="750">
        <v>200</v>
      </c>
      <c r="D190" s="750"/>
      <c r="E190" s="750"/>
      <c r="F190" s="751"/>
      <c r="G190" s="752" t="s">
        <v>4434</v>
      </c>
      <c r="H190" s="771"/>
      <c r="I190" s="754"/>
      <c r="J190" s="754"/>
    </row>
    <row r="191" spans="1:10" s="40" customFormat="1">
      <c r="A191" s="749">
        <v>120</v>
      </c>
      <c r="B191" s="755">
        <v>100</v>
      </c>
      <c r="C191" s="750">
        <v>300</v>
      </c>
      <c r="D191" s="750"/>
      <c r="E191" s="750"/>
      <c r="F191" s="751"/>
      <c r="G191" s="752" t="s">
        <v>4435</v>
      </c>
      <c r="H191" s="771"/>
      <c r="I191" s="754"/>
      <c r="J191" s="754"/>
    </row>
    <row r="192" spans="1:10" s="40" customFormat="1">
      <c r="A192" s="749">
        <v>120</v>
      </c>
      <c r="B192" s="750">
        <v>200</v>
      </c>
      <c r="C192" s="750"/>
      <c r="D192" s="750"/>
      <c r="E192" s="750"/>
      <c r="F192" s="751"/>
      <c r="G192" s="752" t="s">
        <v>3608</v>
      </c>
      <c r="H192" s="753" t="s">
        <v>4027</v>
      </c>
      <c r="I192" s="754"/>
      <c r="J192" s="754"/>
    </row>
    <row r="193" spans="1:10" s="40" customFormat="1">
      <c r="A193" s="759">
        <v>130</v>
      </c>
      <c r="B193" s="760">
        <v>0</v>
      </c>
      <c r="C193" s="760">
        <v>0</v>
      </c>
      <c r="D193" s="760">
        <v>0</v>
      </c>
      <c r="E193" s="760">
        <v>0</v>
      </c>
      <c r="F193" s="761">
        <v>0</v>
      </c>
      <c r="G193" s="762" t="s">
        <v>4436</v>
      </c>
      <c r="H193" s="800"/>
      <c r="I193" s="791"/>
      <c r="J193" s="791"/>
    </row>
    <row r="194" spans="1:10" s="40" customFormat="1">
      <c r="A194" s="749">
        <v>130</v>
      </c>
      <c r="B194" s="755">
        <v>100</v>
      </c>
      <c r="C194" s="755"/>
      <c r="D194" s="755"/>
      <c r="E194" s="755"/>
      <c r="F194" s="756"/>
      <c r="G194" s="757" t="s">
        <v>3610</v>
      </c>
      <c r="H194" s="753" t="s">
        <v>4031</v>
      </c>
      <c r="I194" s="789"/>
      <c r="J194" s="789"/>
    </row>
    <row r="195" spans="1:10" s="40" customFormat="1">
      <c r="A195" s="749">
        <v>130</v>
      </c>
      <c r="B195" s="755">
        <v>100</v>
      </c>
      <c r="C195" s="755">
        <v>100</v>
      </c>
      <c r="D195" s="755"/>
      <c r="E195" s="755"/>
      <c r="F195" s="756"/>
      <c r="G195" s="757" t="s">
        <v>4437</v>
      </c>
      <c r="H195" s="801"/>
      <c r="I195" s="789"/>
      <c r="J195" s="789"/>
    </row>
    <row r="196" spans="1:10" s="747" customFormat="1">
      <c r="A196" s="749">
        <v>130</v>
      </c>
      <c r="B196" s="755">
        <v>100</v>
      </c>
      <c r="C196" s="755">
        <v>100</v>
      </c>
      <c r="D196" s="750">
        <v>100</v>
      </c>
      <c r="E196" s="750"/>
      <c r="F196" s="751"/>
      <c r="G196" s="752" t="s">
        <v>4438</v>
      </c>
      <c r="H196" s="753"/>
      <c r="I196" s="754">
        <v>20000</v>
      </c>
      <c r="J196" s="754">
        <v>20000</v>
      </c>
    </row>
    <row r="197" spans="1:10" s="40" customFormat="1">
      <c r="A197" s="749">
        <v>130</v>
      </c>
      <c r="B197" s="755">
        <v>100</v>
      </c>
      <c r="C197" s="755">
        <v>100</v>
      </c>
      <c r="D197" s="750">
        <v>200</v>
      </c>
      <c r="E197" s="750"/>
      <c r="F197" s="751"/>
      <c r="G197" s="752" t="s">
        <v>4439</v>
      </c>
      <c r="H197" s="753"/>
      <c r="I197" s="754"/>
      <c r="J197" s="754"/>
    </row>
    <row r="198" spans="1:10" s="40" customFormat="1">
      <c r="A198" s="749">
        <v>130</v>
      </c>
      <c r="B198" s="755">
        <v>100</v>
      </c>
      <c r="C198" s="755">
        <v>100</v>
      </c>
      <c r="D198" s="750">
        <v>300</v>
      </c>
      <c r="E198" s="750"/>
      <c r="F198" s="751"/>
      <c r="G198" s="752" t="s">
        <v>4440</v>
      </c>
      <c r="H198" s="753"/>
      <c r="I198" s="754"/>
      <c r="J198" s="754"/>
    </row>
    <row r="199" spans="1:10" s="40" customFormat="1">
      <c r="A199" s="749">
        <v>130</v>
      </c>
      <c r="B199" s="755">
        <v>100</v>
      </c>
      <c r="C199" s="755">
        <v>100</v>
      </c>
      <c r="D199" s="750">
        <v>400</v>
      </c>
      <c r="E199" s="750"/>
      <c r="F199" s="751"/>
      <c r="G199" s="752" t="s">
        <v>4441</v>
      </c>
      <c r="H199" s="753"/>
      <c r="I199" s="754"/>
      <c r="J199" s="754"/>
    </row>
    <row r="200" spans="1:10" s="40" customFormat="1">
      <c r="A200" s="749">
        <v>130</v>
      </c>
      <c r="B200" s="755">
        <v>100</v>
      </c>
      <c r="C200" s="755">
        <v>100</v>
      </c>
      <c r="D200" s="750">
        <v>500</v>
      </c>
      <c r="E200" s="750"/>
      <c r="F200" s="751"/>
      <c r="G200" s="752" t="s">
        <v>4442</v>
      </c>
      <c r="H200" s="753"/>
      <c r="I200" s="754"/>
      <c r="J200" s="754"/>
    </row>
    <row r="201" spans="1:10" s="40" customFormat="1">
      <c r="A201" s="749">
        <v>130</v>
      </c>
      <c r="B201" s="755">
        <v>100</v>
      </c>
      <c r="C201" s="755">
        <v>100</v>
      </c>
      <c r="D201" s="750">
        <v>600</v>
      </c>
      <c r="E201" s="750"/>
      <c r="F201" s="751"/>
      <c r="G201" s="752" t="s">
        <v>4443</v>
      </c>
      <c r="H201" s="753"/>
      <c r="I201" s="754"/>
      <c r="J201" s="754"/>
    </row>
    <row r="202" spans="1:10" s="40" customFormat="1">
      <c r="A202" s="749">
        <v>130</v>
      </c>
      <c r="B202" s="755">
        <v>100</v>
      </c>
      <c r="C202" s="755">
        <v>100</v>
      </c>
      <c r="D202" s="750">
        <v>700</v>
      </c>
      <c r="E202" s="750"/>
      <c r="F202" s="751"/>
      <c r="G202" s="752" t="s">
        <v>4444</v>
      </c>
      <c r="H202" s="753"/>
      <c r="I202" s="754"/>
      <c r="J202" s="754"/>
    </row>
    <row r="203" spans="1:10" s="40" customFormat="1">
      <c r="A203" s="749">
        <v>130</v>
      </c>
      <c r="B203" s="755">
        <v>100</v>
      </c>
      <c r="C203" s="755">
        <v>100</v>
      </c>
      <c r="D203" s="750">
        <v>800</v>
      </c>
      <c r="E203" s="750"/>
      <c r="F203" s="751"/>
      <c r="G203" s="752" t="s">
        <v>4445</v>
      </c>
      <c r="H203" s="753"/>
      <c r="I203" s="754"/>
      <c r="J203" s="754"/>
    </row>
    <row r="204" spans="1:10" s="40" customFormat="1">
      <c r="A204" s="749">
        <v>130</v>
      </c>
      <c r="B204" s="755">
        <v>100</v>
      </c>
      <c r="C204" s="755">
        <v>100</v>
      </c>
      <c r="D204" s="750">
        <v>900</v>
      </c>
      <c r="E204" s="750"/>
      <c r="F204" s="751"/>
      <c r="G204" s="752" t="s">
        <v>4446</v>
      </c>
      <c r="H204" s="753"/>
      <c r="I204" s="754"/>
      <c r="J204" s="754"/>
    </row>
    <row r="205" spans="1:10" s="40" customFormat="1">
      <c r="A205" s="749">
        <v>130</v>
      </c>
      <c r="B205" s="755">
        <v>100</v>
      </c>
      <c r="C205" s="755">
        <v>200</v>
      </c>
      <c r="D205" s="755"/>
      <c r="E205" s="755"/>
      <c r="F205" s="756"/>
      <c r="G205" s="757" t="s">
        <v>4447</v>
      </c>
      <c r="H205" s="801"/>
      <c r="I205" s="789"/>
      <c r="J205" s="789"/>
    </row>
    <row r="206" spans="1:10" s="40" customFormat="1">
      <c r="A206" s="749">
        <v>130</v>
      </c>
      <c r="B206" s="755">
        <v>100</v>
      </c>
      <c r="C206" s="755">
        <v>200</v>
      </c>
      <c r="D206" s="750">
        <v>100</v>
      </c>
      <c r="E206" s="750"/>
      <c r="F206" s="751"/>
      <c r="G206" s="752" t="s">
        <v>4448</v>
      </c>
      <c r="H206" s="753"/>
      <c r="I206" s="754">
        <v>7306.15</v>
      </c>
      <c r="J206" s="754">
        <v>9571</v>
      </c>
    </row>
    <row r="207" spans="1:10" s="40" customFormat="1">
      <c r="A207" s="749">
        <v>130</v>
      </c>
      <c r="B207" s="755">
        <v>100</v>
      </c>
      <c r="C207" s="755">
        <v>200</v>
      </c>
      <c r="D207" s="750">
        <v>200</v>
      </c>
      <c r="E207" s="750"/>
      <c r="F207" s="751"/>
      <c r="G207" s="752" t="s">
        <v>4449</v>
      </c>
      <c r="H207" s="753"/>
      <c r="I207" s="754">
        <v>4000</v>
      </c>
      <c r="J207" s="754">
        <v>4000</v>
      </c>
    </row>
    <row r="208" spans="1:10" s="40" customFormat="1">
      <c r="A208" s="749">
        <v>130</v>
      </c>
      <c r="B208" s="755">
        <v>100</v>
      </c>
      <c r="C208" s="755">
        <v>200</v>
      </c>
      <c r="D208" s="750">
        <v>300</v>
      </c>
      <c r="E208" s="750"/>
      <c r="F208" s="751"/>
      <c r="G208" s="752" t="s">
        <v>4450</v>
      </c>
      <c r="H208" s="753"/>
      <c r="I208" s="754">
        <v>11280</v>
      </c>
      <c r="J208" s="754">
        <v>11280</v>
      </c>
    </row>
    <row r="209" spans="1:10" s="40" customFormat="1">
      <c r="A209" s="749">
        <v>130</v>
      </c>
      <c r="B209" s="755">
        <v>100</v>
      </c>
      <c r="C209" s="755">
        <v>200</v>
      </c>
      <c r="D209" s="750">
        <v>400</v>
      </c>
      <c r="E209" s="750"/>
      <c r="F209" s="751"/>
      <c r="G209" s="752" t="s">
        <v>4451</v>
      </c>
      <c r="H209" s="753"/>
      <c r="I209" s="754"/>
      <c r="J209" s="754"/>
    </row>
    <row r="210" spans="1:10" s="40" customFormat="1">
      <c r="A210" s="749">
        <v>130</v>
      </c>
      <c r="B210" s="755">
        <v>100</v>
      </c>
      <c r="C210" s="755">
        <v>200</v>
      </c>
      <c r="D210" s="750">
        <v>500</v>
      </c>
      <c r="E210" s="750"/>
      <c r="F210" s="751"/>
      <c r="G210" s="752" t="s">
        <v>4452</v>
      </c>
      <c r="H210" s="753"/>
      <c r="I210" s="754"/>
      <c r="J210" s="754"/>
    </row>
    <row r="211" spans="1:10" s="40" customFormat="1">
      <c r="A211" s="749">
        <v>130</v>
      </c>
      <c r="B211" s="755">
        <v>100</v>
      </c>
      <c r="C211" s="755">
        <v>200</v>
      </c>
      <c r="D211" s="750">
        <v>600</v>
      </c>
      <c r="E211" s="750"/>
      <c r="F211" s="751"/>
      <c r="G211" s="752" t="s">
        <v>4453</v>
      </c>
      <c r="H211" s="753"/>
      <c r="I211" s="754"/>
      <c r="J211" s="754"/>
    </row>
    <row r="212" spans="1:10" s="40" customFormat="1">
      <c r="A212" s="749">
        <v>130</v>
      </c>
      <c r="B212" s="755">
        <v>100</v>
      </c>
      <c r="C212" s="755">
        <v>200</v>
      </c>
      <c r="D212" s="750">
        <v>700</v>
      </c>
      <c r="E212" s="750"/>
      <c r="F212" s="751"/>
      <c r="G212" s="752" t="s">
        <v>4454</v>
      </c>
      <c r="H212" s="753"/>
      <c r="I212" s="754"/>
      <c r="J212" s="754"/>
    </row>
    <row r="213" spans="1:10" s="40" customFormat="1">
      <c r="A213" s="749">
        <v>130</v>
      </c>
      <c r="B213" s="755">
        <v>100</v>
      </c>
      <c r="C213" s="755">
        <v>200</v>
      </c>
      <c r="D213" s="750">
        <v>800</v>
      </c>
      <c r="E213" s="750"/>
      <c r="F213" s="751"/>
      <c r="G213" s="752" t="s">
        <v>4455</v>
      </c>
      <c r="H213" s="753"/>
      <c r="I213" s="754"/>
      <c r="J213" s="754"/>
    </row>
    <row r="214" spans="1:10" s="40" customFormat="1">
      <c r="A214" s="749">
        <v>130</v>
      </c>
      <c r="B214" s="755">
        <v>200</v>
      </c>
      <c r="C214" s="755"/>
      <c r="D214" s="755"/>
      <c r="E214" s="755"/>
      <c r="F214" s="756"/>
      <c r="G214" s="757" t="s">
        <v>3611</v>
      </c>
      <c r="H214" s="753" t="s">
        <v>4033</v>
      </c>
      <c r="I214" s="789"/>
      <c r="J214" s="789"/>
    </row>
    <row r="215" spans="1:10" s="40" customFormat="1">
      <c r="A215" s="749">
        <v>130</v>
      </c>
      <c r="B215" s="755">
        <v>200</v>
      </c>
      <c r="C215" s="750">
        <v>100</v>
      </c>
      <c r="D215" s="750"/>
      <c r="E215" s="750"/>
      <c r="F215" s="751"/>
      <c r="G215" s="752" t="s">
        <v>4456</v>
      </c>
      <c r="H215" s="801"/>
      <c r="I215" s="754">
        <v>30625663.469999999</v>
      </c>
      <c r="J215" s="754">
        <v>38793885</v>
      </c>
    </row>
    <row r="216" spans="1:10" s="40" customFormat="1">
      <c r="A216" s="749">
        <v>130</v>
      </c>
      <c r="B216" s="755">
        <v>200</v>
      </c>
      <c r="C216" s="750">
        <v>110</v>
      </c>
      <c r="D216" s="750"/>
      <c r="E216" s="750"/>
      <c r="F216" s="751"/>
      <c r="G216" s="752" t="s">
        <v>4457</v>
      </c>
      <c r="H216" s="801"/>
      <c r="I216" s="754"/>
      <c r="J216" s="754"/>
    </row>
    <row r="217" spans="1:10" s="40" customFormat="1">
      <c r="A217" s="749">
        <v>130</v>
      </c>
      <c r="B217" s="755">
        <v>200</v>
      </c>
      <c r="C217" s="750">
        <v>200</v>
      </c>
      <c r="D217" s="750"/>
      <c r="E217" s="750"/>
      <c r="F217" s="751"/>
      <c r="G217" s="752" t="s">
        <v>4458</v>
      </c>
      <c r="H217" s="753"/>
      <c r="I217" s="754"/>
      <c r="J217" s="754"/>
    </row>
    <row r="218" spans="1:10" s="40" customFormat="1">
      <c r="A218" s="749">
        <v>130</v>
      </c>
      <c r="B218" s="750">
        <v>300</v>
      </c>
      <c r="C218" s="750"/>
      <c r="D218" s="750"/>
      <c r="E218" s="750"/>
      <c r="F218" s="751"/>
      <c r="G218" s="752" t="s">
        <v>3612</v>
      </c>
      <c r="H218" s="753" t="s">
        <v>4035</v>
      </c>
      <c r="I218" s="754"/>
      <c r="J218" s="754"/>
    </row>
    <row r="219" spans="1:10" s="40" customFormat="1">
      <c r="A219" s="749">
        <v>130</v>
      </c>
      <c r="B219" s="755">
        <v>400</v>
      </c>
      <c r="C219" s="755"/>
      <c r="D219" s="755"/>
      <c r="E219" s="755"/>
      <c r="F219" s="756"/>
      <c r="G219" s="757" t="s">
        <v>3613</v>
      </c>
      <c r="H219" s="753" t="s">
        <v>4037</v>
      </c>
      <c r="I219" s="789"/>
      <c r="J219" s="789"/>
    </row>
    <row r="220" spans="1:10" s="40" customFormat="1">
      <c r="A220" s="749">
        <v>130</v>
      </c>
      <c r="B220" s="755">
        <v>400</v>
      </c>
      <c r="C220" s="750">
        <v>100</v>
      </c>
      <c r="D220" s="750"/>
      <c r="E220" s="750"/>
      <c r="F220" s="751"/>
      <c r="G220" s="752" t="s">
        <v>4459</v>
      </c>
      <c r="H220" s="801"/>
      <c r="I220" s="754">
        <v>2124.38</v>
      </c>
      <c r="J220" s="754">
        <v>1459</v>
      </c>
    </row>
    <row r="221" spans="1:10" s="40" customFormat="1">
      <c r="A221" s="749">
        <v>130</v>
      </c>
      <c r="B221" s="755">
        <v>400</v>
      </c>
      <c r="C221" s="750">
        <v>110</v>
      </c>
      <c r="D221" s="750"/>
      <c r="E221" s="750"/>
      <c r="F221" s="751"/>
      <c r="G221" s="752" t="s">
        <v>4460</v>
      </c>
      <c r="H221" s="801"/>
      <c r="I221" s="754"/>
      <c r="J221" s="754"/>
    </row>
    <row r="222" spans="1:10" s="40" customFormat="1">
      <c r="A222" s="749">
        <v>130</v>
      </c>
      <c r="B222" s="755">
        <v>400</v>
      </c>
      <c r="C222" s="750">
        <v>120</v>
      </c>
      <c r="D222" s="750"/>
      <c r="E222" s="750"/>
      <c r="F222" s="751"/>
      <c r="G222" s="752" t="s">
        <v>4461</v>
      </c>
      <c r="H222" s="801"/>
      <c r="I222" s="754"/>
      <c r="J222" s="754"/>
    </row>
    <row r="223" spans="1:10" s="40" customFormat="1">
      <c r="A223" s="749">
        <v>130</v>
      </c>
      <c r="B223" s="755">
        <v>400</v>
      </c>
      <c r="C223" s="750">
        <v>130</v>
      </c>
      <c r="D223" s="750"/>
      <c r="E223" s="750"/>
      <c r="F223" s="751"/>
      <c r="G223" s="752" t="s">
        <v>4462</v>
      </c>
      <c r="H223" s="801"/>
      <c r="I223" s="754"/>
      <c r="J223" s="754"/>
    </row>
    <row r="224" spans="1:10" s="40" customFormat="1">
      <c r="A224" s="749">
        <v>130</v>
      </c>
      <c r="B224" s="755">
        <v>400</v>
      </c>
      <c r="C224" s="750">
        <v>200</v>
      </c>
      <c r="D224" s="750"/>
      <c r="E224" s="750"/>
      <c r="F224" s="751"/>
      <c r="G224" s="752" t="s">
        <v>4463</v>
      </c>
      <c r="H224" s="753"/>
      <c r="I224" s="754"/>
      <c r="J224" s="754"/>
    </row>
    <row r="225" spans="1:10" s="40" customFormat="1">
      <c r="A225" s="749">
        <v>130</v>
      </c>
      <c r="B225" s="755">
        <v>400</v>
      </c>
      <c r="C225" s="750">
        <v>300</v>
      </c>
      <c r="D225" s="750"/>
      <c r="E225" s="750"/>
      <c r="F225" s="751"/>
      <c r="G225" s="752" t="s">
        <v>4464</v>
      </c>
      <c r="H225" s="753"/>
      <c r="I225" s="754"/>
      <c r="J225" s="754"/>
    </row>
    <row r="226" spans="1:10" s="40" customFormat="1">
      <c r="A226" s="749">
        <v>130</v>
      </c>
      <c r="B226" s="755">
        <v>400</v>
      </c>
      <c r="C226" s="750">
        <v>400</v>
      </c>
      <c r="D226" s="750"/>
      <c r="E226" s="750"/>
      <c r="F226" s="751"/>
      <c r="G226" s="752" t="s">
        <v>4465</v>
      </c>
      <c r="H226" s="753"/>
      <c r="I226" s="754"/>
      <c r="J226" s="754"/>
    </row>
    <row r="227" spans="1:10" s="40" customFormat="1">
      <c r="A227" s="749">
        <v>130</v>
      </c>
      <c r="B227" s="755">
        <v>900</v>
      </c>
      <c r="C227" s="755"/>
      <c r="D227" s="755"/>
      <c r="E227" s="755"/>
      <c r="F227" s="756"/>
      <c r="G227" s="757" t="s">
        <v>4466</v>
      </c>
      <c r="H227" s="753"/>
      <c r="I227" s="789"/>
      <c r="J227" s="789"/>
    </row>
    <row r="228" spans="1:10" s="40" customFormat="1">
      <c r="A228" s="749">
        <v>130</v>
      </c>
      <c r="B228" s="755">
        <v>900</v>
      </c>
      <c r="C228" s="750">
        <v>100</v>
      </c>
      <c r="D228" s="750"/>
      <c r="E228" s="750"/>
      <c r="F228" s="751"/>
      <c r="G228" s="752" t="s">
        <v>4467</v>
      </c>
      <c r="H228" s="753"/>
      <c r="I228" s="754"/>
      <c r="J228" s="754"/>
    </row>
    <row r="229" spans="1:10" s="40" customFormat="1">
      <c r="A229" s="749">
        <v>130</v>
      </c>
      <c r="B229" s="755">
        <v>900</v>
      </c>
      <c r="C229" s="750">
        <v>200</v>
      </c>
      <c r="D229" s="750"/>
      <c r="E229" s="750"/>
      <c r="F229" s="751"/>
      <c r="G229" s="752" t="s">
        <v>4468</v>
      </c>
      <c r="H229" s="753"/>
      <c r="I229" s="754"/>
      <c r="J229" s="754"/>
    </row>
    <row r="230" spans="1:10" s="40" customFormat="1">
      <c r="A230" s="749">
        <v>130</v>
      </c>
      <c r="B230" s="755">
        <v>900</v>
      </c>
      <c r="C230" s="750">
        <v>300</v>
      </c>
      <c r="D230" s="750"/>
      <c r="E230" s="750"/>
      <c r="F230" s="751"/>
      <c r="G230" s="752" t="s">
        <v>4469</v>
      </c>
      <c r="H230" s="753"/>
      <c r="I230" s="754"/>
      <c r="J230" s="754">
        <v>0</v>
      </c>
    </row>
    <row r="231" spans="1:10" s="40" customFormat="1">
      <c r="A231" s="749">
        <v>130</v>
      </c>
      <c r="B231" s="755">
        <v>900</v>
      </c>
      <c r="C231" s="750">
        <v>301</v>
      </c>
      <c r="D231" s="750"/>
      <c r="E231" s="750"/>
      <c r="F231" s="751"/>
      <c r="G231" s="752" t="s">
        <v>4470</v>
      </c>
      <c r="H231" s="753"/>
      <c r="I231" s="754"/>
      <c r="J231" s="754"/>
    </row>
    <row r="232" spans="1:10" s="40" customFormat="1">
      <c r="A232" s="749">
        <v>130</v>
      </c>
      <c r="B232" s="755">
        <v>900</v>
      </c>
      <c r="C232" s="750">
        <v>302</v>
      </c>
      <c r="D232" s="750"/>
      <c r="E232" s="750"/>
      <c r="F232" s="751"/>
      <c r="G232" s="752" t="s">
        <v>4471</v>
      </c>
      <c r="H232" s="753"/>
      <c r="I232" s="754"/>
      <c r="J232" s="754"/>
    </row>
    <row r="233" spans="1:10" s="40" customFormat="1">
      <c r="A233" s="749">
        <v>130</v>
      </c>
      <c r="B233" s="755">
        <v>900</v>
      </c>
      <c r="C233" s="750">
        <v>303</v>
      </c>
      <c r="D233" s="750"/>
      <c r="E233" s="750"/>
      <c r="F233" s="751"/>
      <c r="G233" s="752" t="s">
        <v>4472</v>
      </c>
      <c r="H233" s="753"/>
      <c r="I233" s="754"/>
      <c r="J233" s="754"/>
    </row>
    <row r="234" spans="1:10" s="40" customFormat="1">
      <c r="A234" s="749">
        <v>130</v>
      </c>
      <c r="B234" s="755">
        <v>900</v>
      </c>
      <c r="C234" s="750">
        <v>304</v>
      </c>
      <c r="D234" s="750"/>
      <c r="E234" s="750"/>
      <c r="F234" s="751"/>
      <c r="G234" s="752" t="s">
        <v>4473</v>
      </c>
      <c r="H234" s="753"/>
      <c r="I234" s="754"/>
      <c r="J234" s="754"/>
    </row>
    <row r="235" spans="1:10" s="40" customFormat="1">
      <c r="A235" s="749">
        <v>130</v>
      </c>
      <c r="B235" s="755">
        <v>900</v>
      </c>
      <c r="C235" s="750">
        <v>305</v>
      </c>
      <c r="D235" s="750"/>
      <c r="E235" s="750"/>
      <c r="F235" s="751"/>
      <c r="G235" s="752" t="s">
        <v>4474</v>
      </c>
      <c r="H235" s="753"/>
      <c r="I235" s="754"/>
      <c r="J235" s="754"/>
    </row>
    <row r="236" spans="1:10" s="40" customFormat="1">
      <c r="A236" s="749">
        <v>130</v>
      </c>
      <c r="B236" s="755">
        <v>900</v>
      </c>
      <c r="C236" s="750">
        <v>306</v>
      </c>
      <c r="D236" s="750"/>
      <c r="E236" s="750"/>
      <c r="F236" s="751"/>
      <c r="G236" s="752" t="s">
        <v>4475</v>
      </c>
      <c r="H236" s="753"/>
      <c r="I236" s="754"/>
      <c r="J236" s="754"/>
    </row>
    <row r="237" spans="1:10" s="40" customFormat="1">
      <c r="A237" s="749">
        <v>130</v>
      </c>
      <c r="B237" s="755">
        <v>900</v>
      </c>
      <c r="C237" s="750">
        <v>307</v>
      </c>
      <c r="D237" s="750"/>
      <c r="E237" s="750"/>
      <c r="F237" s="751"/>
      <c r="G237" s="752" t="s">
        <v>4476</v>
      </c>
      <c r="H237" s="753"/>
      <c r="I237" s="754"/>
      <c r="J237" s="754"/>
    </row>
    <row r="238" spans="1:10" s="40" customFormat="1">
      <c r="A238" s="749">
        <v>130</v>
      </c>
      <c r="B238" s="755">
        <v>900</v>
      </c>
      <c r="C238" s="750">
        <v>308</v>
      </c>
      <c r="D238" s="750"/>
      <c r="E238" s="750"/>
      <c r="F238" s="751"/>
      <c r="G238" s="752" t="s">
        <v>4477</v>
      </c>
      <c r="H238" s="753"/>
      <c r="I238" s="754"/>
      <c r="J238" s="754"/>
    </row>
    <row r="239" spans="1:10" s="40" customFormat="1">
      <c r="A239" s="749">
        <v>130</v>
      </c>
      <c r="B239" s="755">
        <v>900</v>
      </c>
      <c r="C239" s="750">
        <v>309</v>
      </c>
      <c r="D239" s="750"/>
      <c r="E239" s="750"/>
      <c r="F239" s="751"/>
      <c r="G239" s="752" t="s">
        <v>4478</v>
      </c>
      <c r="H239" s="753"/>
      <c r="I239" s="754"/>
      <c r="J239" s="754"/>
    </row>
    <row r="240" spans="1:10" s="40" customFormat="1">
      <c r="A240" s="759">
        <v>140</v>
      </c>
      <c r="B240" s="760">
        <v>0</v>
      </c>
      <c r="C240" s="760">
        <v>0</v>
      </c>
      <c r="D240" s="760">
        <v>0</v>
      </c>
      <c r="E240" s="760">
        <v>0</v>
      </c>
      <c r="F240" s="761">
        <v>0</v>
      </c>
      <c r="G240" s="762" t="s">
        <v>3615</v>
      </c>
      <c r="H240" s="800"/>
      <c r="I240" s="791"/>
      <c r="J240" s="791"/>
    </row>
    <row r="241" spans="1:12" s="40" customFormat="1">
      <c r="A241" s="749">
        <v>140</v>
      </c>
      <c r="B241" s="755">
        <v>100</v>
      </c>
      <c r="C241" s="755"/>
      <c r="D241" s="755"/>
      <c r="E241" s="755"/>
      <c r="F241" s="756"/>
      <c r="G241" s="757" t="s">
        <v>4479</v>
      </c>
      <c r="H241" s="753"/>
      <c r="I241" s="789"/>
      <c r="J241" s="789"/>
    </row>
    <row r="242" spans="1:12" s="40" customFormat="1">
      <c r="A242" s="749">
        <v>140</v>
      </c>
      <c r="B242" s="755">
        <v>100</v>
      </c>
      <c r="C242" s="750">
        <v>100</v>
      </c>
      <c r="D242" s="750"/>
      <c r="E242" s="750"/>
      <c r="F242" s="751"/>
      <c r="G242" s="752" t="s">
        <v>3616</v>
      </c>
      <c r="H242" s="753" t="s">
        <v>4043</v>
      </c>
      <c r="I242" s="802"/>
      <c r="J242" s="802"/>
    </row>
    <row r="243" spans="1:12" s="747" customFormat="1">
      <c r="A243" s="749">
        <v>140</v>
      </c>
      <c r="B243" s="755">
        <v>100</v>
      </c>
      <c r="C243" s="750">
        <v>200</v>
      </c>
      <c r="D243" s="750"/>
      <c r="E243" s="750"/>
      <c r="F243" s="751"/>
      <c r="G243" s="752" t="s">
        <v>4480</v>
      </c>
      <c r="H243" s="753" t="s">
        <v>4045</v>
      </c>
      <c r="I243" s="802">
        <v>58752.46</v>
      </c>
      <c r="J243" s="802">
        <v>19280</v>
      </c>
    </row>
    <row r="244" spans="1:12" s="40" customFormat="1">
      <c r="A244" s="749">
        <v>140</v>
      </c>
      <c r="B244" s="755">
        <v>200</v>
      </c>
      <c r="C244" s="755"/>
      <c r="D244" s="755"/>
      <c r="E244" s="755"/>
      <c r="F244" s="756"/>
      <c r="G244" s="757" t="s">
        <v>4481</v>
      </c>
      <c r="H244" s="753"/>
      <c r="I244" s="789"/>
      <c r="J244" s="789"/>
    </row>
    <row r="245" spans="1:12" s="40" customFormat="1">
      <c r="A245" s="749">
        <v>140</v>
      </c>
      <c r="B245" s="755">
        <v>200</v>
      </c>
      <c r="C245" s="750">
        <v>100</v>
      </c>
      <c r="D245" s="750"/>
      <c r="E245" s="750"/>
      <c r="F245" s="751"/>
      <c r="G245" s="752" t="s">
        <v>3617</v>
      </c>
      <c r="H245" s="753" t="s">
        <v>4049</v>
      </c>
      <c r="I245" s="802">
        <v>9592.43</v>
      </c>
      <c r="J245" s="802">
        <v>27892</v>
      </c>
    </row>
    <row r="246" spans="1:12" s="40" customFormat="1">
      <c r="A246" s="749">
        <v>140</v>
      </c>
      <c r="B246" s="755">
        <v>200</v>
      </c>
      <c r="C246" s="750">
        <v>200</v>
      </c>
      <c r="D246" s="750"/>
      <c r="E246" s="750"/>
      <c r="F246" s="751"/>
      <c r="G246" s="752" t="s">
        <v>4482</v>
      </c>
      <c r="H246" s="753" t="s">
        <v>4051</v>
      </c>
      <c r="I246" s="802"/>
      <c r="J246" s="802"/>
    </row>
    <row r="247" spans="1:12" s="40" customFormat="1">
      <c r="A247" s="803">
        <v>150</v>
      </c>
      <c r="B247" s="804">
        <v>0</v>
      </c>
      <c r="C247" s="804">
        <v>0</v>
      </c>
      <c r="D247" s="804">
        <v>0</v>
      </c>
      <c r="E247" s="804">
        <v>0</v>
      </c>
      <c r="F247" s="805">
        <v>0</v>
      </c>
      <c r="G247" s="806" t="s">
        <v>4483</v>
      </c>
      <c r="H247" s="807" t="s">
        <v>4053</v>
      </c>
      <c r="I247" s="808">
        <v>159456837.77000004</v>
      </c>
      <c r="J247" s="808">
        <v>165763595</v>
      </c>
      <c r="L247" s="809"/>
    </row>
    <row r="248" spans="1:12" s="40" customFormat="1">
      <c r="A248" s="759">
        <v>195</v>
      </c>
      <c r="B248" s="760">
        <v>0</v>
      </c>
      <c r="C248" s="760">
        <v>0</v>
      </c>
      <c r="D248" s="760">
        <v>0</v>
      </c>
      <c r="E248" s="760">
        <v>0</v>
      </c>
      <c r="F248" s="761">
        <v>0</v>
      </c>
      <c r="G248" s="762" t="s">
        <v>3620</v>
      </c>
      <c r="H248" s="800"/>
      <c r="I248" s="791"/>
      <c r="J248" s="791"/>
    </row>
    <row r="249" spans="1:12" s="40" customFormat="1">
      <c r="A249" s="749">
        <v>195</v>
      </c>
      <c r="B249" s="750">
        <v>100</v>
      </c>
      <c r="C249" s="750"/>
      <c r="D249" s="750"/>
      <c r="E249" s="750"/>
      <c r="F249" s="751"/>
      <c r="G249" s="752" t="s">
        <v>4484</v>
      </c>
      <c r="H249" s="753" t="s">
        <v>4057</v>
      </c>
      <c r="I249" s="810">
        <v>22159.96</v>
      </c>
      <c r="J249" s="810">
        <v>66479</v>
      </c>
    </row>
    <row r="250" spans="1:12" s="747" customFormat="1">
      <c r="A250" s="749">
        <v>195</v>
      </c>
      <c r="B250" s="750">
        <v>200</v>
      </c>
      <c r="C250" s="750"/>
      <c r="D250" s="750"/>
      <c r="E250" s="750"/>
      <c r="F250" s="751"/>
      <c r="G250" s="752" t="s">
        <v>4485</v>
      </c>
      <c r="H250" s="753" t="s">
        <v>4059</v>
      </c>
      <c r="I250" s="810"/>
      <c r="J250" s="810"/>
    </row>
    <row r="251" spans="1:12" s="747" customFormat="1">
      <c r="A251" s="749">
        <v>195</v>
      </c>
      <c r="B251" s="750">
        <v>300</v>
      </c>
      <c r="C251" s="750"/>
      <c r="D251" s="750"/>
      <c r="E251" s="750"/>
      <c r="F251" s="751"/>
      <c r="G251" s="752" t="s">
        <v>4486</v>
      </c>
      <c r="H251" s="753" t="s">
        <v>4061</v>
      </c>
      <c r="I251" s="810">
        <v>1463350.4</v>
      </c>
      <c r="J251" s="810">
        <v>1463350</v>
      </c>
    </row>
    <row r="252" spans="1:12" s="40" customFormat="1">
      <c r="A252" s="749">
        <v>195</v>
      </c>
      <c r="B252" s="750">
        <v>350</v>
      </c>
      <c r="C252" s="750"/>
      <c r="D252" s="750"/>
      <c r="E252" s="750"/>
      <c r="F252" s="751"/>
      <c r="G252" s="752" t="s">
        <v>4487</v>
      </c>
      <c r="H252" s="753" t="s">
        <v>4063</v>
      </c>
      <c r="I252" s="810"/>
      <c r="J252" s="810"/>
    </row>
    <row r="253" spans="1:12" s="40" customFormat="1">
      <c r="A253" s="749">
        <v>195</v>
      </c>
      <c r="B253" s="755">
        <v>400</v>
      </c>
      <c r="C253" s="755"/>
      <c r="D253" s="755"/>
      <c r="E253" s="755"/>
      <c r="F253" s="756"/>
      <c r="G253" s="757" t="s">
        <v>4488</v>
      </c>
      <c r="H253" s="753" t="s">
        <v>4065</v>
      </c>
      <c r="I253" s="810"/>
      <c r="J253" s="810"/>
    </row>
    <row r="254" spans="1:12" s="40" customFormat="1">
      <c r="A254" s="749">
        <v>195</v>
      </c>
      <c r="B254" s="755">
        <v>400</v>
      </c>
      <c r="C254" s="750">
        <v>100</v>
      </c>
      <c r="D254" s="750"/>
      <c r="E254" s="750"/>
      <c r="F254" s="751"/>
      <c r="G254" s="752" t="s">
        <v>4489</v>
      </c>
      <c r="H254" s="753"/>
      <c r="I254" s="810"/>
      <c r="J254" s="810"/>
    </row>
    <row r="255" spans="1:12" s="40" customFormat="1">
      <c r="A255" s="749">
        <v>195</v>
      </c>
      <c r="B255" s="755">
        <v>400</v>
      </c>
      <c r="C255" s="750">
        <v>200</v>
      </c>
      <c r="D255" s="750"/>
      <c r="E255" s="750"/>
      <c r="F255" s="751"/>
      <c r="G255" s="752" t="s">
        <v>3623</v>
      </c>
      <c r="H255" s="753"/>
      <c r="I255" s="810"/>
      <c r="J255" s="810"/>
    </row>
    <row r="256" spans="1:12" s="40" customFormat="1">
      <c r="A256" s="749">
        <v>195</v>
      </c>
      <c r="B256" s="755">
        <v>400</v>
      </c>
      <c r="C256" s="750">
        <v>300</v>
      </c>
      <c r="D256" s="750"/>
      <c r="E256" s="750"/>
      <c r="F256" s="751"/>
      <c r="G256" s="752" t="s">
        <v>4490</v>
      </c>
      <c r="H256" s="753"/>
      <c r="I256" s="802">
        <v>1277134.0900000001</v>
      </c>
      <c r="J256" s="802">
        <v>1277134</v>
      </c>
    </row>
    <row r="257" spans="1:10" s="40" customFormat="1">
      <c r="A257" s="749">
        <v>195</v>
      </c>
      <c r="B257" s="755">
        <v>400</v>
      </c>
      <c r="C257" s="750">
        <v>400</v>
      </c>
      <c r="D257" s="750"/>
      <c r="E257" s="750"/>
      <c r="F257" s="751"/>
      <c r="G257" s="752" t="s">
        <v>4491</v>
      </c>
      <c r="H257" s="753"/>
      <c r="I257" s="802"/>
      <c r="J257" s="802"/>
    </row>
    <row r="258" spans="1:10" s="40" customFormat="1">
      <c r="A258" s="749">
        <v>195</v>
      </c>
      <c r="B258" s="755">
        <v>400</v>
      </c>
      <c r="C258" s="750">
        <v>500</v>
      </c>
      <c r="D258" s="750"/>
      <c r="E258" s="750"/>
      <c r="F258" s="751"/>
      <c r="G258" s="752" t="s">
        <v>4492</v>
      </c>
      <c r="H258" s="753"/>
      <c r="I258" s="802"/>
      <c r="J258" s="802"/>
    </row>
    <row r="259" spans="1:10" s="40" customFormat="1">
      <c r="A259" s="749">
        <v>195</v>
      </c>
      <c r="B259" s="755">
        <v>400</v>
      </c>
      <c r="C259" s="750">
        <v>600</v>
      </c>
      <c r="D259" s="750"/>
      <c r="E259" s="750"/>
      <c r="F259" s="751"/>
      <c r="G259" s="752" t="s">
        <v>4493</v>
      </c>
      <c r="H259" s="753"/>
      <c r="I259" s="810"/>
      <c r="J259" s="810"/>
    </row>
    <row r="260" spans="1:10" s="40" customFormat="1" ht="13.5" thickBot="1">
      <c r="A260" s="811">
        <v>195</v>
      </c>
      <c r="B260" s="812">
        <v>400</v>
      </c>
      <c r="C260" s="813">
        <v>900</v>
      </c>
      <c r="D260" s="813"/>
      <c r="E260" s="813"/>
      <c r="F260" s="814"/>
      <c r="G260" s="815" t="s">
        <v>4494</v>
      </c>
      <c r="H260" s="816"/>
      <c r="I260" s="817"/>
      <c r="J260" s="817"/>
    </row>
    <row r="261" spans="1:10" s="40" customFormat="1">
      <c r="H261" s="818"/>
      <c r="I261" s="819"/>
      <c r="J261" s="819"/>
    </row>
    <row r="262" spans="1:10" s="40" customFormat="1">
      <c r="H262" s="818"/>
      <c r="I262" s="192"/>
      <c r="J262" s="192"/>
    </row>
    <row r="263" spans="1:10" s="40" customFormat="1">
      <c r="A263" s="740"/>
      <c r="B263" s="740"/>
      <c r="C263" s="740"/>
      <c r="D263" s="740"/>
      <c r="E263" s="740"/>
      <c r="F263" s="740"/>
      <c r="G263" s="740"/>
      <c r="H263" s="820"/>
      <c r="I263" s="821"/>
      <c r="J263" s="821"/>
    </row>
    <row r="264" spans="1:10" s="40" customFormat="1">
      <c r="A264" s="740"/>
      <c r="B264" s="740"/>
      <c r="C264" s="740"/>
      <c r="D264" s="740"/>
      <c r="E264" s="740"/>
      <c r="F264" s="740"/>
      <c r="G264" s="740"/>
      <c r="H264" s="820"/>
      <c r="I264" s="821"/>
      <c r="J264" s="821"/>
    </row>
    <row r="265" spans="1:10" s="40" customFormat="1">
      <c r="A265" s="740"/>
      <c r="B265" s="740"/>
      <c r="C265" s="740"/>
      <c r="D265" s="740"/>
      <c r="E265" s="740"/>
      <c r="F265" s="740"/>
      <c r="G265" s="740"/>
      <c r="H265" s="820"/>
      <c r="I265" s="821"/>
      <c r="J265" s="821"/>
    </row>
  </sheetData>
  <autoFilter ref="A2:N260" xr:uid="{00000000-0009-0000-0000-000006000000}"/>
  <mergeCells count="5">
    <mergeCell ref="A1:F1"/>
    <mergeCell ref="G1:G2"/>
    <mergeCell ref="H1:H2"/>
    <mergeCell ref="I1:I2"/>
    <mergeCell ref="J1:J2"/>
  </mergeCells>
  <pageMargins left="0.70866141732283472" right="0.70866141732283472" top="0.74803149606299213" bottom="0.74803149606299213" header="0.31496062992125984" footer="0.31496062992125984"/>
  <pageSetup paperSize="9" scale="63" fitToHeight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23"/>
  <sheetViews>
    <sheetView showGridLines="0" workbookViewId="0">
      <pane ySplit="2" topLeftCell="A3" activePane="bottomLeft" state="frozen"/>
      <selection activeCell="I101" sqref="I101"/>
      <selection pane="bottomLeft" sqref="A1:J130"/>
    </sheetView>
  </sheetViews>
  <sheetFormatPr defaultColWidth="8.85546875" defaultRowHeight="12.75"/>
  <cols>
    <col min="1" max="4" width="4" style="740" bestFit="1" customWidth="1"/>
    <col min="5" max="5" width="3" style="740" bestFit="1" customWidth="1"/>
    <col min="6" max="6" width="3.5703125" style="740" customWidth="1"/>
    <col min="7" max="7" width="70.5703125" style="740" customWidth="1"/>
    <col min="8" max="8" width="13.42578125" style="820" customWidth="1"/>
    <col min="9" max="10" width="15.42578125" style="976" customWidth="1"/>
    <col min="11" max="11" width="4.140625" style="740" customWidth="1"/>
    <col min="12" max="16384" width="8.85546875" style="740"/>
  </cols>
  <sheetData>
    <row r="1" spans="1:10" s="40" customFormat="1" ht="20.25" customHeight="1" thickBot="1">
      <c r="A1" s="1046" t="s">
        <v>119</v>
      </c>
      <c r="B1" s="1047"/>
      <c r="C1" s="1047"/>
      <c r="D1" s="1047"/>
      <c r="E1" s="1047"/>
      <c r="F1" s="1048"/>
      <c r="G1" s="1049" t="s">
        <v>4495</v>
      </c>
      <c r="H1" s="1051" t="s">
        <v>4334</v>
      </c>
      <c r="I1" s="1053" t="s">
        <v>4877</v>
      </c>
      <c r="J1" s="1053" t="s">
        <v>4865</v>
      </c>
    </row>
    <row r="2" spans="1:10" s="40" customFormat="1" ht="20.25" customHeight="1" thickBot="1">
      <c r="A2" s="211" t="s">
        <v>122</v>
      </c>
      <c r="B2" s="211" t="s">
        <v>123</v>
      </c>
      <c r="C2" s="211" t="s">
        <v>124</v>
      </c>
      <c r="D2" s="211" t="s">
        <v>125</v>
      </c>
      <c r="E2" s="211" t="s">
        <v>126</v>
      </c>
      <c r="F2" s="211" t="s">
        <v>127</v>
      </c>
      <c r="G2" s="1050"/>
      <c r="H2" s="1052"/>
      <c r="I2" s="1054"/>
      <c r="J2" s="1054"/>
    </row>
    <row r="3" spans="1:10" s="747" customFormat="1" ht="13.5" hidden="1" thickBot="1">
      <c r="A3" s="822">
        <v>200</v>
      </c>
      <c r="B3" s="823">
        <v>0</v>
      </c>
      <c r="C3" s="823">
        <v>0</v>
      </c>
      <c r="D3" s="823">
        <v>0</v>
      </c>
      <c r="E3" s="824">
        <v>0</v>
      </c>
      <c r="F3" s="825">
        <v>0</v>
      </c>
      <c r="G3" s="826" t="s">
        <v>3629</v>
      </c>
      <c r="H3" s="827"/>
      <c r="I3" s="828"/>
      <c r="J3" s="828"/>
    </row>
    <row r="4" spans="1:10" s="40" customFormat="1" hidden="1">
      <c r="A4" s="829">
        <v>200</v>
      </c>
      <c r="B4" s="830">
        <v>100</v>
      </c>
      <c r="C4" s="831"/>
      <c r="D4" s="831"/>
      <c r="E4" s="831"/>
      <c r="F4" s="832"/>
      <c r="G4" s="799" t="s">
        <v>4496</v>
      </c>
      <c r="H4" s="790" t="s">
        <v>4069</v>
      </c>
      <c r="I4" s="833">
        <v>308581.39</v>
      </c>
      <c r="J4" s="833">
        <v>308581</v>
      </c>
    </row>
    <row r="5" spans="1:10" s="40" customFormat="1" hidden="1">
      <c r="A5" s="829">
        <v>200</v>
      </c>
      <c r="B5" s="834">
        <v>200</v>
      </c>
      <c r="C5" s="834"/>
      <c r="D5" s="834"/>
      <c r="E5" s="834"/>
      <c r="F5" s="835"/>
      <c r="G5" s="836" t="s">
        <v>4497</v>
      </c>
      <c r="H5" s="753"/>
      <c r="I5" s="789"/>
      <c r="J5" s="789"/>
    </row>
    <row r="6" spans="1:10" s="40" customFormat="1" hidden="1">
      <c r="A6" s="829">
        <v>200</v>
      </c>
      <c r="B6" s="834">
        <v>200</v>
      </c>
      <c r="C6" s="837">
        <v>100</v>
      </c>
      <c r="D6" s="834"/>
      <c r="E6" s="834"/>
      <c r="F6" s="835"/>
      <c r="G6" s="794" t="s">
        <v>3632</v>
      </c>
      <c r="H6" s="753" t="s">
        <v>4073</v>
      </c>
      <c r="I6" s="810">
        <v>2570479.2999999998</v>
      </c>
      <c r="J6" s="810">
        <v>2748992</v>
      </c>
    </row>
    <row r="7" spans="1:10" s="40" customFormat="1" hidden="1">
      <c r="A7" s="829">
        <v>200</v>
      </c>
      <c r="B7" s="834">
        <v>200</v>
      </c>
      <c r="C7" s="834">
        <v>200</v>
      </c>
      <c r="D7" s="834"/>
      <c r="E7" s="834"/>
      <c r="F7" s="835"/>
      <c r="G7" s="836" t="s">
        <v>3633</v>
      </c>
      <c r="H7" s="753"/>
      <c r="I7" s="789"/>
      <c r="J7" s="789"/>
    </row>
    <row r="8" spans="1:10" s="40" customFormat="1" hidden="1">
      <c r="A8" s="829">
        <v>200</v>
      </c>
      <c r="B8" s="834">
        <v>200</v>
      </c>
      <c r="C8" s="834">
        <v>200</v>
      </c>
      <c r="D8" s="837">
        <v>100</v>
      </c>
      <c r="E8" s="837"/>
      <c r="F8" s="838"/>
      <c r="G8" s="794" t="s">
        <v>3635</v>
      </c>
      <c r="H8" s="753" t="s">
        <v>4077</v>
      </c>
      <c r="I8" s="833">
        <v>14989040.84</v>
      </c>
      <c r="J8" s="833">
        <v>15013895</v>
      </c>
    </row>
    <row r="9" spans="1:10" s="40" customFormat="1" hidden="1">
      <c r="A9" s="829">
        <v>200</v>
      </c>
      <c r="B9" s="834">
        <v>200</v>
      </c>
      <c r="C9" s="834">
        <v>200</v>
      </c>
      <c r="D9" s="837">
        <v>200</v>
      </c>
      <c r="E9" s="837"/>
      <c r="F9" s="838"/>
      <c r="G9" s="794" t="s">
        <v>4498</v>
      </c>
      <c r="H9" s="753" t="s">
        <v>4079</v>
      </c>
      <c r="I9" s="833">
        <v>736714.39</v>
      </c>
      <c r="J9" s="833">
        <v>958921</v>
      </c>
    </row>
    <row r="10" spans="1:10" s="40" customFormat="1" hidden="1">
      <c r="A10" s="829">
        <v>200</v>
      </c>
      <c r="B10" s="834">
        <v>200</v>
      </c>
      <c r="C10" s="834">
        <v>200</v>
      </c>
      <c r="D10" s="837">
        <v>300</v>
      </c>
      <c r="E10" s="837"/>
      <c r="F10" s="838"/>
      <c r="G10" s="794" t="s">
        <v>4499</v>
      </c>
      <c r="H10" s="753" t="s">
        <v>4081</v>
      </c>
      <c r="I10" s="833">
        <v>6386273.9900000002</v>
      </c>
      <c r="J10" s="833">
        <v>6755101</v>
      </c>
    </row>
    <row r="11" spans="1:10" s="40" customFormat="1" hidden="1">
      <c r="A11" s="829">
        <v>200</v>
      </c>
      <c r="B11" s="834">
        <v>200</v>
      </c>
      <c r="C11" s="834">
        <v>300</v>
      </c>
      <c r="D11" s="834"/>
      <c r="E11" s="834"/>
      <c r="F11" s="835"/>
      <c r="G11" s="836" t="s">
        <v>3639</v>
      </c>
      <c r="H11" s="753" t="s">
        <v>4083</v>
      </c>
      <c r="I11" s="789"/>
      <c r="J11" s="789"/>
    </row>
    <row r="12" spans="1:10" s="40" customFormat="1" hidden="1">
      <c r="A12" s="829">
        <v>200</v>
      </c>
      <c r="B12" s="834">
        <v>200</v>
      </c>
      <c r="C12" s="834">
        <v>300</v>
      </c>
      <c r="D12" s="837">
        <v>100</v>
      </c>
      <c r="E12" s="837"/>
      <c r="F12" s="838"/>
      <c r="G12" s="839" t="s">
        <v>4500</v>
      </c>
      <c r="H12" s="753"/>
      <c r="I12" s="833">
        <v>27474738.66</v>
      </c>
      <c r="J12" s="833">
        <v>29508985</v>
      </c>
    </row>
    <row r="13" spans="1:10" s="40" customFormat="1" hidden="1">
      <c r="A13" s="829">
        <v>200</v>
      </c>
      <c r="B13" s="834">
        <v>200</v>
      </c>
      <c r="C13" s="834">
        <v>300</v>
      </c>
      <c r="D13" s="837">
        <v>200</v>
      </c>
      <c r="E13" s="837"/>
      <c r="F13" s="838"/>
      <c r="G13" s="839" t="s">
        <v>4501</v>
      </c>
      <c r="H13" s="753"/>
      <c r="I13" s="833"/>
      <c r="J13" s="833"/>
    </row>
    <row r="14" spans="1:10" s="40" customFormat="1" hidden="1">
      <c r="A14" s="829">
        <v>200</v>
      </c>
      <c r="B14" s="834">
        <v>200</v>
      </c>
      <c r="C14" s="834">
        <v>400</v>
      </c>
      <c r="D14" s="834"/>
      <c r="E14" s="834"/>
      <c r="F14" s="835"/>
      <c r="G14" s="836" t="s">
        <v>3640</v>
      </c>
      <c r="H14" s="753" t="s">
        <v>4085</v>
      </c>
      <c r="I14" s="789"/>
      <c r="J14" s="789"/>
    </row>
    <row r="15" spans="1:10" s="40" customFormat="1" hidden="1">
      <c r="A15" s="829">
        <v>200</v>
      </c>
      <c r="B15" s="834">
        <v>200</v>
      </c>
      <c r="C15" s="834">
        <v>400</v>
      </c>
      <c r="D15" s="837">
        <v>100</v>
      </c>
      <c r="E15" s="837"/>
      <c r="F15" s="838"/>
      <c r="G15" s="839" t="s">
        <v>4502</v>
      </c>
      <c r="H15" s="753"/>
      <c r="I15" s="833"/>
      <c r="J15" s="833"/>
    </row>
    <row r="16" spans="1:10" s="40" customFormat="1" hidden="1">
      <c r="A16" s="829">
        <v>200</v>
      </c>
      <c r="B16" s="834">
        <v>200</v>
      </c>
      <c r="C16" s="834">
        <v>400</v>
      </c>
      <c r="D16" s="837">
        <v>200</v>
      </c>
      <c r="E16" s="837"/>
      <c r="F16" s="838"/>
      <c r="G16" s="839" t="s">
        <v>4503</v>
      </c>
      <c r="H16" s="753"/>
      <c r="I16" s="833">
        <v>129981.69</v>
      </c>
      <c r="J16" s="833">
        <v>28336</v>
      </c>
    </row>
    <row r="17" spans="1:10" s="40" customFormat="1" hidden="1">
      <c r="A17" s="829">
        <v>200</v>
      </c>
      <c r="B17" s="834">
        <v>200</v>
      </c>
      <c r="C17" s="837">
        <v>500</v>
      </c>
      <c r="D17" s="837"/>
      <c r="E17" s="837"/>
      <c r="F17" s="838"/>
      <c r="G17" s="794" t="s">
        <v>3641</v>
      </c>
      <c r="H17" s="753" t="s">
        <v>4087</v>
      </c>
      <c r="I17" s="833">
        <v>102797.94</v>
      </c>
      <c r="J17" s="833">
        <v>112426</v>
      </c>
    </row>
    <row r="18" spans="1:10" s="40" customFormat="1" hidden="1">
      <c r="A18" s="829">
        <v>200</v>
      </c>
      <c r="B18" s="837">
        <v>300</v>
      </c>
      <c r="C18" s="837"/>
      <c r="D18" s="837"/>
      <c r="E18" s="837"/>
      <c r="F18" s="838"/>
      <c r="G18" s="794" t="s">
        <v>4504</v>
      </c>
      <c r="H18" s="753" t="s">
        <v>4089</v>
      </c>
      <c r="I18" s="833">
        <v>5912507.8600000003</v>
      </c>
      <c r="J18" s="833">
        <v>4941979</v>
      </c>
    </row>
    <row r="19" spans="1:10" s="40" customFormat="1" hidden="1">
      <c r="A19" s="829">
        <v>200</v>
      </c>
      <c r="B19" s="834">
        <v>400</v>
      </c>
      <c r="C19" s="834"/>
      <c r="D19" s="834"/>
      <c r="E19" s="834"/>
      <c r="F19" s="835"/>
      <c r="G19" s="836" t="s">
        <v>4505</v>
      </c>
      <c r="H19" s="753"/>
      <c r="I19" s="789"/>
      <c r="J19" s="789"/>
    </row>
    <row r="20" spans="1:10" s="40" customFormat="1" hidden="1">
      <c r="A20" s="829">
        <v>200</v>
      </c>
      <c r="B20" s="834">
        <v>400</v>
      </c>
      <c r="C20" s="837">
        <v>100</v>
      </c>
      <c r="D20" s="837"/>
      <c r="E20" s="837"/>
      <c r="F20" s="838"/>
      <c r="G20" s="794" t="s">
        <v>4506</v>
      </c>
      <c r="H20" s="753" t="s">
        <v>4093</v>
      </c>
      <c r="I20" s="833"/>
      <c r="J20" s="833"/>
    </row>
    <row r="21" spans="1:10" s="40" customFormat="1" hidden="1">
      <c r="A21" s="829">
        <v>200</v>
      </c>
      <c r="B21" s="834">
        <v>400</v>
      </c>
      <c r="C21" s="837">
        <v>200</v>
      </c>
      <c r="D21" s="837"/>
      <c r="E21" s="837"/>
      <c r="F21" s="838"/>
      <c r="G21" s="794" t="s">
        <v>4507</v>
      </c>
      <c r="H21" s="753" t="s">
        <v>4095</v>
      </c>
      <c r="I21" s="833">
        <v>657495.01</v>
      </c>
      <c r="J21" s="833">
        <v>654168</v>
      </c>
    </row>
    <row r="22" spans="1:10" s="40" customFormat="1" hidden="1">
      <c r="A22" s="829">
        <v>200</v>
      </c>
      <c r="B22" s="834">
        <v>400</v>
      </c>
      <c r="C22" s="837">
        <v>300</v>
      </c>
      <c r="D22" s="837"/>
      <c r="E22" s="837"/>
      <c r="F22" s="838"/>
      <c r="G22" s="794" t="s">
        <v>4508</v>
      </c>
      <c r="H22" s="753" t="s">
        <v>4097</v>
      </c>
      <c r="I22" s="833">
        <v>361725.56</v>
      </c>
      <c r="J22" s="833">
        <v>366049</v>
      </c>
    </row>
    <row r="23" spans="1:10" s="40" customFormat="1" hidden="1">
      <c r="A23" s="829">
        <v>200</v>
      </c>
      <c r="B23" s="834">
        <v>400</v>
      </c>
      <c r="C23" s="837">
        <v>400</v>
      </c>
      <c r="D23" s="837"/>
      <c r="E23" s="837"/>
      <c r="F23" s="838"/>
      <c r="G23" s="794" t="s">
        <v>4509</v>
      </c>
      <c r="H23" s="753" t="s">
        <v>4099</v>
      </c>
      <c r="I23" s="833">
        <v>209102.51</v>
      </c>
      <c r="J23" s="833">
        <v>193503</v>
      </c>
    </row>
    <row r="24" spans="1:10" s="40" customFormat="1" hidden="1">
      <c r="A24" s="829">
        <v>200</v>
      </c>
      <c r="B24" s="834">
        <v>400</v>
      </c>
      <c r="C24" s="837">
        <v>500</v>
      </c>
      <c r="D24" s="837"/>
      <c r="E24" s="837"/>
      <c r="F24" s="838"/>
      <c r="G24" s="794" t="s">
        <v>4510</v>
      </c>
      <c r="H24" s="753" t="s">
        <v>4101</v>
      </c>
      <c r="I24" s="833">
        <v>1614260.88</v>
      </c>
      <c r="J24" s="833">
        <v>1714263</v>
      </c>
    </row>
    <row r="25" spans="1:10" s="40" customFormat="1" hidden="1">
      <c r="A25" s="829">
        <v>200</v>
      </c>
      <c r="B25" s="834">
        <v>500</v>
      </c>
      <c r="C25" s="834"/>
      <c r="D25" s="834"/>
      <c r="E25" s="834"/>
      <c r="F25" s="835"/>
      <c r="G25" s="836" t="s">
        <v>4511</v>
      </c>
      <c r="H25" s="753"/>
      <c r="I25" s="789"/>
      <c r="J25" s="789"/>
    </row>
    <row r="26" spans="1:10" s="40" customFormat="1" hidden="1">
      <c r="A26" s="829">
        <v>200</v>
      </c>
      <c r="B26" s="834">
        <v>500</v>
      </c>
      <c r="C26" s="837">
        <v>100</v>
      </c>
      <c r="D26" s="837"/>
      <c r="E26" s="837"/>
      <c r="F26" s="838"/>
      <c r="G26" s="794" t="s">
        <v>4512</v>
      </c>
      <c r="H26" s="753" t="s">
        <v>4105</v>
      </c>
      <c r="I26" s="833"/>
      <c r="J26" s="833"/>
    </row>
    <row r="27" spans="1:10" s="40" customFormat="1" hidden="1">
      <c r="A27" s="829">
        <v>200</v>
      </c>
      <c r="B27" s="834">
        <v>500</v>
      </c>
      <c r="C27" s="837">
        <v>200</v>
      </c>
      <c r="D27" s="837"/>
      <c r="E27" s="837"/>
      <c r="F27" s="838"/>
      <c r="G27" s="794" t="s">
        <v>4513</v>
      </c>
      <c r="H27" s="753" t="s">
        <v>4107</v>
      </c>
      <c r="I27" s="833"/>
      <c r="J27" s="833"/>
    </row>
    <row r="28" spans="1:10" s="40" customFormat="1" hidden="1">
      <c r="A28" s="829">
        <v>200</v>
      </c>
      <c r="B28" s="834">
        <v>500</v>
      </c>
      <c r="C28" s="837">
        <v>300</v>
      </c>
      <c r="D28" s="837"/>
      <c r="E28" s="837"/>
      <c r="F28" s="838"/>
      <c r="G28" s="794" t="s">
        <v>4514</v>
      </c>
      <c r="H28" s="753" t="s">
        <v>4109</v>
      </c>
      <c r="I28" s="833"/>
      <c r="J28" s="833"/>
    </row>
    <row r="29" spans="1:10" s="40" customFormat="1" hidden="1">
      <c r="A29" s="829">
        <v>200</v>
      </c>
      <c r="B29" s="837">
        <v>600</v>
      </c>
      <c r="C29" s="837"/>
      <c r="D29" s="837"/>
      <c r="E29" s="837"/>
      <c r="F29" s="838"/>
      <c r="G29" s="794" t="s">
        <v>4515</v>
      </c>
      <c r="H29" s="753" t="s">
        <v>4111</v>
      </c>
      <c r="I29" s="833">
        <v>0</v>
      </c>
      <c r="J29" s="833"/>
    </row>
    <row r="30" spans="1:10" s="40" customFormat="1" hidden="1">
      <c r="A30" s="840">
        <v>200</v>
      </c>
      <c r="B30" s="841">
        <v>700</v>
      </c>
      <c r="C30" s="841"/>
      <c r="D30" s="841"/>
      <c r="E30" s="841"/>
      <c r="F30" s="842"/>
      <c r="G30" s="843" t="s">
        <v>4516</v>
      </c>
      <c r="H30" s="771" t="s">
        <v>4113</v>
      </c>
      <c r="I30" s="833">
        <v>-8.8475644588470459E-9</v>
      </c>
      <c r="J30" s="833">
        <v>15600</v>
      </c>
    </row>
    <row r="31" spans="1:10" s="747" customFormat="1" hidden="1">
      <c r="A31" s="844">
        <v>210</v>
      </c>
      <c r="B31" s="845">
        <v>0</v>
      </c>
      <c r="C31" s="845">
        <v>0</v>
      </c>
      <c r="D31" s="845">
        <v>0</v>
      </c>
      <c r="E31" s="845">
        <v>0</v>
      </c>
      <c r="F31" s="846">
        <v>0</v>
      </c>
      <c r="G31" s="847" t="s">
        <v>4517</v>
      </c>
      <c r="H31" s="776"/>
      <c r="I31" s="848"/>
      <c r="J31" s="848"/>
    </row>
    <row r="32" spans="1:10" s="40" customFormat="1" hidden="1">
      <c r="A32" s="829">
        <v>210</v>
      </c>
      <c r="B32" s="834">
        <v>100</v>
      </c>
      <c r="C32" s="834"/>
      <c r="D32" s="834"/>
      <c r="E32" s="834"/>
      <c r="F32" s="835"/>
      <c r="G32" s="849" t="s">
        <v>4518</v>
      </c>
      <c r="H32" s="753"/>
      <c r="I32" s="789"/>
      <c r="J32" s="789"/>
    </row>
    <row r="33" spans="1:10" s="40" customFormat="1" hidden="1">
      <c r="A33" s="829">
        <v>210</v>
      </c>
      <c r="B33" s="834">
        <v>100</v>
      </c>
      <c r="C33" s="837">
        <v>100</v>
      </c>
      <c r="D33" s="837"/>
      <c r="E33" s="837"/>
      <c r="F33" s="838"/>
      <c r="G33" s="839" t="s">
        <v>4519</v>
      </c>
      <c r="H33" s="753" t="s">
        <v>3706</v>
      </c>
      <c r="I33" s="833"/>
      <c r="J33" s="833"/>
    </row>
    <row r="34" spans="1:10" s="40" customFormat="1" hidden="1">
      <c r="A34" s="829">
        <v>210</v>
      </c>
      <c r="B34" s="834">
        <v>100</v>
      </c>
      <c r="C34" s="837">
        <v>200</v>
      </c>
      <c r="D34" s="837"/>
      <c r="E34" s="837"/>
      <c r="F34" s="838"/>
      <c r="G34" s="839" t="s">
        <v>4520</v>
      </c>
      <c r="H34" s="753" t="s">
        <v>3712</v>
      </c>
      <c r="I34" s="833"/>
      <c r="J34" s="833"/>
    </row>
    <row r="35" spans="1:10" s="40" customFormat="1" ht="25.5" hidden="1">
      <c r="A35" s="829">
        <v>210</v>
      </c>
      <c r="B35" s="834">
        <v>100</v>
      </c>
      <c r="C35" s="837">
        <v>300</v>
      </c>
      <c r="D35" s="837"/>
      <c r="E35" s="837"/>
      <c r="F35" s="838"/>
      <c r="G35" s="839" t="s">
        <v>4521</v>
      </c>
      <c r="H35" s="753" t="s">
        <v>3718</v>
      </c>
      <c r="I35" s="833"/>
      <c r="J35" s="833"/>
    </row>
    <row r="36" spans="1:10" s="40" customFormat="1" ht="25.5" hidden="1">
      <c r="A36" s="829">
        <v>210</v>
      </c>
      <c r="B36" s="834">
        <v>100</v>
      </c>
      <c r="C36" s="837">
        <v>400</v>
      </c>
      <c r="D36" s="837"/>
      <c r="E36" s="837"/>
      <c r="F36" s="838"/>
      <c r="G36" s="839" t="s">
        <v>4522</v>
      </c>
      <c r="H36" s="753" t="s">
        <v>3722</v>
      </c>
      <c r="I36" s="833"/>
      <c r="J36" s="833"/>
    </row>
    <row r="37" spans="1:10" s="40" customFormat="1" hidden="1">
      <c r="A37" s="829">
        <v>210</v>
      </c>
      <c r="B37" s="834">
        <v>100</v>
      </c>
      <c r="C37" s="837">
        <v>500</v>
      </c>
      <c r="D37" s="837"/>
      <c r="E37" s="837"/>
      <c r="F37" s="838"/>
      <c r="G37" s="839" t="s">
        <v>4523</v>
      </c>
      <c r="H37" s="753" t="s">
        <v>3730</v>
      </c>
      <c r="I37" s="833">
        <v>289532.74</v>
      </c>
      <c r="J37" s="833">
        <v>276407</v>
      </c>
    </row>
    <row r="38" spans="1:10" s="40" customFormat="1" hidden="1">
      <c r="A38" s="829">
        <v>210</v>
      </c>
      <c r="B38" s="834">
        <v>100</v>
      </c>
      <c r="C38" s="837">
        <v>600</v>
      </c>
      <c r="D38" s="837"/>
      <c r="E38" s="837"/>
      <c r="F38" s="838"/>
      <c r="G38" s="839" t="s">
        <v>4524</v>
      </c>
      <c r="H38" s="753" t="s">
        <v>3734</v>
      </c>
      <c r="I38" s="833">
        <v>39838.230000000003</v>
      </c>
      <c r="J38" s="833">
        <v>39838</v>
      </c>
    </row>
    <row r="39" spans="1:10" s="40" customFormat="1" hidden="1">
      <c r="A39" s="829">
        <v>210</v>
      </c>
      <c r="B39" s="834">
        <v>100</v>
      </c>
      <c r="C39" s="837">
        <v>700</v>
      </c>
      <c r="D39" s="837"/>
      <c r="E39" s="837"/>
      <c r="F39" s="838"/>
      <c r="G39" s="839" t="s">
        <v>4525</v>
      </c>
      <c r="H39" s="753" t="s">
        <v>3738</v>
      </c>
      <c r="I39" s="833"/>
      <c r="J39" s="833"/>
    </row>
    <row r="40" spans="1:10" s="40" customFormat="1" hidden="1">
      <c r="A40" s="829">
        <v>210</v>
      </c>
      <c r="B40" s="834">
        <v>100</v>
      </c>
      <c r="C40" s="837">
        <v>800</v>
      </c>
      <c r="D40" s="837"/>
      <c r="E40" s="837"/>
      <c r="F40" s="838"/>
      <c r="G40" s="839" t="s">
        <v>4526</v>
      </c>
      <c r="H40" s="753" t="s">
        <v>3742</v>
      </c>
      <c r="I40" s="833"/>
      <c r="J40" s="833"/>
    </row>
    <row r="41" spans="1:10" s="40" customFormat="1" hidden="1">
      <c r="A41" s="829">
        <v>210</v>
      </c>
      <c r="B41" s="834">
        <v>200</v>
      </c>
      <c r="C41" s="834"/>
      <c r="D41" s="834"/>
      <c r="E41" s="834"/>
      <c r="F41" s="835"/>
      <c r="G41" s="849" t="s">
        <v>4527</v>
      </c>
      <c r="H41" s="850"/>
      <c r="I41" s="851"/>
      <c r="J41" s="851"/>
    </row>
    <row r="42" spans="1:10" s="40" customFormat="1" hidden="1">
      <c r="A42" s="829">
        <v>210</v>
      </c>
      <c r="B42" s="834">
        <v>200</v>
      </c>
      <c r="C42" s="837">
        <v>100</v>
      </c>
      <c r="D42" s="837"/>
      <c r="E42" s="837"/>
      <c r="F42" s="838"/>
      <c r="G42" s="839" t="s">
        <v>4528</v>
      </c>
      <c r="H42" s="753" t="s">
        <v>3768</v>
      </c>
      <c r="I42" s="833">
        <v>389657.36</v>
      </c>
      <c r="J42" s="833">
        <v>313168</v>
      </c>
    </row>
    <row r="43" spans="1:10" s="40" customFormat="1" hidden="1">
      <c r="A43" s="829">
        <v>210</v>
      </c>
      <c r="B43" s="834">
        <v>200</v>
      </c>
      <c r="C43" s="837">
        <v>200</v>
      </c>
      <c r="D43" s="837"/>
      <c r="E43" s="837"/>
      <c r="F43" s="838"/>
      <c r="G43" s="839" t="s">
        <v>4529</v>
      </c>
      <c r="H43" s="753" t="s">
        <v>3774</v>
      </c>
      <c r="I43" s="833">
        <v>15673820.029999999</v>
      </c>
      <c r="J43" s="833">
        <v>14421999</v>
      </c>
    </row>
    <row r="44" spans="1:10" s="40" customFormat="1" hidden="1">
      <c r="A44" s="829">
        <v>210</v>
      </c>
      <c r="B44" s="834">
        <v>200</v>
      </c>
      <c r="C44" s="837">
        <v>300</v>
      </c>
      <c r="D44" s="837"/>
      <c r="E44" s="837"/>
      <c r="F44" s="838"/>
      <c r="G44" s="839" t="s">
        <v>4530</v>
      </c>
      <c r="H44" s="753" t="s">
        <v>3780</v>
      </c>
      <c r="I44" s="833">
        <v>3238320.33</v>
      </c>
      <c r="J44" s="833">
        <v>3175091</v>
      </c>
    </row>
    <row r="45" spans="1:10" s="40" customFormat="1" hidden="1">
      <c r="A45" s="829">
        <v>210</v>
      </c>
      <c r="B45" s="834">
        <v>200</v>
      </c>
      <c r="C45" s="837">
        <v>400</v>
      </c>
      <c r="D45" s="837"/>
      <c r="E45" s="837"/>
      <c r="F45" s="838"/>
      <c r="G45" s="839" t="s">
        <v>4531</v>
      </c>
      <c r="H45" s="753" t="s">
        <v>3786</v>
      </c>
      <c r="I45" s="833">
        <v>27439195.460000001</v>
      </c>
      <c r="J45" s="833">
        <v>25633442</v>
      </c>
    </row>
    <row r="46" spans="1:10" s="40" customFormat="1" hidden="1">
      <c r="A46" s="829">
        <v>210</v>
      </c>
      <c r="B46" s="834">
        <v>200</v>
      </c>
      <c r="C46" s="837">
        <v>500</v>
      </c>
      <c r="D46" s="837"/>
      <c r="E46" s="837"/>
      <c r="F46" s="838"/>
      <c r="G46" s="839" t="s">
        <v>4532</v>
      </c>
      <c r="H46" s="753" t="s">
        <v>3792</v>
      </c>
      <c r="I46" s="833">
        <v>2524975.84</v>
      </c>
      <c r="J46" s="833">
        <v>2466991</v>
      </c>
    </row>
    <row r="47" spans="1:10" s="40" customFormat="1" hidden="1">
      <c r="A47" s="829">
        <v>210</v>
      </c>
      <c r="B47" s="834">
        <v>200</v>
      </c>
      <c r="C47" s="837">
        <v>600</v>
      </c>
      <c r="D47" s="837"/>
      <c r="E47" s="837"/>
      <c r="F47" s="838"/>
      <c r="G47" s="839" t="s">
        <v>4533</v>
      </c>
      <c r="H47" s="753" t="s">
        <v>3798</v>
      </c>
      <c r="I47" s="833">
        <v>134087.79999999999</v>
      </c>
      <c r="J47" s="833">
        <v>132400</v>
      </c>
    </row>
    <row r="48" spans="1:10" s="40" customFormat="1" hidden="1">
      <c r="A48" s="829">
        <v>210</v>
      </c>
      <c r="B48" s="834">
        <v>200</v>
      </c>
      <c r="C48" s="837">
        <v>700</v>
      </c>
      <c r="D48" s="837"/>
      <c r="E48" s="837"/>
      <c r="F48" s="838"/>
      <c r="G48" s="839" t="s">
        <v>4534</v>
      </c>
      <c r="H48" s="753" t="s">
        <v>3806</v>
      </c>
      <c r="I48" s="833">
        <v>5613282.25</v>
      </c>
      <c r="J48" s="833">
        <v>5349237</v>
      </c>
    </row>
    <row r="49" spans="1:10" s="40" customFormat="1" hidden="1">
      <c r="A49" s="829">
        <v>210</v>
      </c>
      <c r="B49" s="834">
        <v>300</v>
      </c>
      <c r="C49" s="834"/>
      <c r="D49" s="834"/>
      <c r="E49" s="834"/>
      <c r="F49" s="835"/>
      <c r="G49" s="849" t="s">
        <v>4535</v>
      </c>
      <c r="H49" s="753"/>
      <c r="I49" s="789"/>
      <c r="J49" s="789"/>
    </row>
    <row r="50" spans="1:10" s="40" customFormat="1" hidden="1">
      <c r="A50" s="829">
        <v>210</v>
      </c>
      <c r="B50" s="834">
        <v>300</v>
      </c>
      <c r="C50" s="837">
        <v>100</v>
      </c>
      <c r="D50" s="837"/>
      <c r="E50" s="837"/>
      <c r="F50" s="838"/>
      <c r="G50" s="839" t="s">
        <v>4536</v>
      </c>
      <c r="H50" s="753" t="s">
        <v>3746</v>
      </c>
      <c r="I50" s="833"/>
      <c r="J50" s="833"/>
    </row>
    <row r="51" spans="1:10" s="40" customFormat="1" hidden="1">
      <c r="A51" s="829">
        <v>210</v>
      </c>
      <c r="B51" s="834">
        <v>300</v>
      </c>
      <c r="C51" s="837">
        <v>200</v>
      </c>
      <c r="D51" s="837"/>
      <c r="E51" s="837"/>
      <c r="F51" s="838"/>
      <c r="G51" s="839" t="s">
        <v>4537</v>
      </c>
      <c r="H51" s="753" t="s">
        <v>3748</v>
      </c>
      <c r="I51" s="833"/>
      <c r="J51" s="833"/>
    </row>
    <row r="52" spans="1:10" s="40" customFormat="1" ht="25.5" hidden="1">
      <c r="A52" s="829">
        <v>210</v>
      </c>
      <c r="B52" s="834">
        <v>300</v>
      </c>
      <c r="C52" s="837">
        <v>300</v>
      </c>
      <c r="D52" s="837"/>
      <c r="E52" s="837"/>
      <c r="F52" s="838"/>
      <c r="G52" s="839" t="s">
        <v>4538</v>
      </c>
      <c r="H52" s="753" t="s">
        <v>3750</v>
      </c>
      <c r="I52" s="833"/>
      <c r="J52" s="833"/>
    </row>
    <row r="53" spans="1:10" s="40" customFormat="1" hidden="1">
      <c r="A53" s="829">
        <v>210</v>
      </c>
      <c r="B53" s="834">
        <v>300</v>
      </c>
      <c r="C53" s="837">
        <v>400</v>
      </c>
      <c r="D53" s="837"/>
      <c r="E53" s="837"/>
      <c r="F53" s="838"/>
      <c r="G53" s="839" t="s">
        <v>4539</v>
      </c>
      <c r="H53" s="753" t="s">
        <v>3752</v>
      </c>
      <c r="I53" s="833"/>
      <c r="J53" s="833"/>
    </row>
    <row r="54" spans="1:10" s="40" customFormat="1" hidden="1">
      <c r="A54" s="829">
        <v>210</v>
      </c>
      <c r="B54" s="834">
        <v>400</v>
      </c>
      <c r="C54" s="834"/>
      <c r="D54" s="834"/>
      <c r="E54" s="834"/>
      <c r="F54" s="835"/>
      <c r="G54" s="849" t="s">
        <v>4540</v>
      </c>
      <c r="H54" s="850"/>
      <c r="I54" s="851"/>
      <c r="J54" s="851"/>
    </row>
    <row r="55" spans="1:10" s="40" customFormat="1" hidden="1">
      <c r="A55" s="829">
        <v>210</v>
      </c>
      <c r="B55" s="834">
        <v>400</v>
      </c>
      <c r="C55" s="837">
        <v>50</v>
      </c>
      <c r="D55" s="837"/>
      <c r="E55" s="837"/>
      <c r="F55" s="838"/>
      <c r="G55" s="839" t="s">
        <v>4541</v>
      </c>
      <c r="H55" s="753" t="s">
        <v>3812</v>
      </c>
      <c r="I55" s="833"/>
      <c r="J55" s="833"/>
    </row>
    <row r="56" spans="1:10" s="40" customFormat="1" hidden="1">
      <c r="A56" s="829">
        <v>210</v>
      </c>
      <c r="B56" s="834">
        <v>400</v>
      </c>
      <c r="C56" s="837">
        <v>100</v>
      </c>
      <c r="D56" s="837"/>
      <c r="E56" s="837"/>
      <c r="F56" s="838"/>
      <c r="G56" s="839" t="s">
        <v>4542</v>
      </c>
      <c r="H56" s="753" t="s">
        <v>3812</v>
      </c>
      <c r="I56" s="833"/>
      <c r="J56" s="833"/>
    </row>
    <row r="57" spans="1:10" s="40" customFormat="1" hidden="1">
      <c r="A57" s="829">
        <v>210</v>
      </c>
      <c r="B57" s="834">
        <v>400</v>
      </c>
      <c r="C57" s="837">
        <v>150</v>
      </c>
      <c r="D57" s="837"/>
      <c r="E57" s="837"/>
      <c r="F57" s="838"/>
      <c r="G57" s="839" t="s">
        <v>4543</v>
      </c>
      <c r="H57" s="753" t="s">
        <v>3814</v>
      </c>
      <c r="I57" s="833"/>
      <c r="J57" s="833"/>
    </row>
    <row r="58" spans="1:10" s="40" customFormat="1" hidden="1">
      <c r="A58" s="829">
        <v>210</v>
      </c>
      <c r="B58" s="834">
        <v>400</v>
      </c>
      <c r="C58" s="837">
        <v>200</v>
      </c>
      <c r="D58" s="837"/>
      <c r="E58" s="837"/>
      <c r="F58" s="838"/>
      <c r="G58" s="839" t="s">
        <v>4544</v>
      </c>
      <c r="H58" s="753" t="s">
        <v>3812</v>
      </c>
      <c r="I58" s="833"/>
      <c r="J58" s="833"/>
    </row>
    <row r="59" spans="1:10" s="40" customFormat="1" hidden="1">
      <c r="A59" s="829">
        <v>210</v>
      </c>
      <c r="B59" s="834">
        <v>400</v>
      </c>
      <c r="C59" s="837">
        <v>300</v>
      </c>
      <c r="D59" s="837"/>
      <c r="E59" s="837"/>
      <c r="F59" s="838"/>
      <c r="G59" s="839" t="s">
        <v>4545</v>
      </c>
      <c r="H59" s="753" t="s">
        <v>3816</v>
      </c>
      <c r="I59" s="833"/>
      <c r="J59" s="833"/>
    </row>
    <row r="60" spans="1:10" s="40" customFormat="1" hidden="1">
      <c r="A60" s="829">
        <v>210</v>
      </c>
      <c r="B60" s="834">
        <v>400</v>
      </c>
      <c r="C60" s="837">
        <v>400</v>
      </c>
      <c r="D60" s="837"/>
      <c r="E60" s="837"/>
      <c r="F60" s="838"/>
      <c r="G60" s="839" t="s">
        <v>4546</v>
      </c>
      <c r="H60" s="753" t="s">
        <v>3818</v>
      </c>
      <c r="I60" s="833"/>
      <c r="J60" s="833"/>
    </row>
    <row r="61" spans="1:10" s="40" customFormat="1" hidden="1">
      <c r="A61" s="829">
        <v>210</v>
      </c>
      <c r="B61" s="834">
        <v>400</v>
      </c>
      <c r="C61" s="837">
        <v>500</v>
      </c>
      <c r="D61" s="837"/>
      <c r="E61" s="837"/>
      <c r="F61" s="838"/>
      <c r="G61" s="839" t="s">
        <v>4547</v>
      </c>
      <c r="H61" s="753" t="s">
        <v>3820</v>
      </c>
      <c r="I61" s="833"/>
      <c r="J61" s="833"/>
    </row>
    <row r="62" spans="1:10" s="40" customFormat="1" hidden="1">
      <c r="A62" s="829">
        <v>210</v>
      </c>
      <c r="B62" s="834">
        <v>400</v>
      </c>
      <c r="C62" s="837">
        <v>600</v>
      </c>
      <c r="D62" s="837"/>
      <c r="E62" s="837"/>
      <c r="F62" s="838"/>
      <c r="G62" s="839" t="s">
        <v>4548</v>
      </c>
      <c r="H62" s="753" t="s">
        <v>3822</v>
      </c>
      <c r="I62" s="833"/>
      <c r="J62" s="833"/>
    </row>
    <row r="63" spans="1:10" s="40" customFormat="1" hidden="1">
      <c r="A63" s="829">
        <v>210</v>
      </c>
      <c r="B63" s="834">
        <v>400</v>
      </c>
      <c r="C63" s="837">
        <v>700</v>
      </c>
      <c r="D63" s="837"/>
      <c r="E63" s="837"/>
      <c r="F63" s="838"/>
      <c r="G63" s="839" t="s">
        <v>4549</v>
      </c>
      <c r="H63" s="753" t="s">
        <v>3824</v>
      </c>
      <c r="I63" s="833"/>
      <c r="J63" s="833"/>
    </row>
    <row r="64" spans="1:10" s="40" customFormat="1" hidden="1">
      <c r="A64" s="829">
        <v>210</v>
      </c>
      <c r="B64" s="834">
        <v>400</v>
      </c>
      <c r="C64" s="837">
        <v>800</v>
      </c>
      <c r="D64" s="837"/>
      <c r="E64" s="837"/>
      <c r="F64" s="838"/>
      <c r="G64" s="839" t="s">
        <v>4550</v>
      </c>
      <c r="H64" s="753" t="s">
        <v>3826</v>
      </c>
      <c r="I64" s="833"/>
      <c r="J64" s="833"/>
    </row>
    <row r="65" spans="1:10" s="40" customFormat="1" hidden="1">
      <c r="A65" s="829">
        <v>210</v>
      </c>
      <c r="B65" s="834">
        <v>500</v>
      </c>
      <c r="C65" s="834"/>
      <c r="D65" s="834"/>
      <c r="E65" s="834"/>
      <c r="F65" s="835"/>
      <c r="G65" s="849" t="s">
        <v>4551</v>
      </c>
      <c r="H65" s="790"/>
      <c r="I65" s="791"/>
      <c r="J65" s="791"/>
    </row>
    <row r="66" spans="1:10" s="40" customFormat="1" hidden="1">
      <c r="A66" s="829">
        <v>210</v>
      </c>
      <c r="B66" s="834">
        <v>500</v>
      </c>
      <c r="C66" s="837">
        <v>100</v>
      </c>
      <c r="D66" s="837"/>
      <c r="E66" s="837"/>
      <c r="F66" s="838"/>
      <c r="G66" s="794" t="s">
        <v>4552</v>
      </c>
      <c r="H66" s="790" t="s">
        <v>3832</v>
      </c>
      <c r="I66" s="833"/>
      <c r="J66" s="833"/>
    </row>
    <row r="67" spans="1:10" s="40" customFormat="1" hidden="1">
      <c r="A67" s="829">
        <v>210</v>
      </c>
      <c r="B67" s="834">
        <v>500</v>
      </c>
      <c r="C67" s="837">
        <v>101</v>
      </c>
      <c r="D67" s="837"/>
      <c r="E67" s="837"/>
      <c r="F67" s="838"/>
      <c r="G67" s="794" t="s">
        <v>4553</v>
      </c>
      <c r="H67" s="790" t="s">
        <v>3834</v>
      </c>
      <c r="I67" s="833"/>
      <c r="J67" s="833"/>
    </row>
    <row r="68" spans="1:10" s="40" customFormat="1" hidden="1">
      <c r="A68" s="829">
        <v>210</v>
      </c>
      <c r="B68" s="834">
        <v>500</v>
      </c>
      <c r="C68" s="837">
        <v>102</v>
      </c>
      <c r="D68" s="837"/>
      <c r="E68" s="837"/>
      <c r="F68" s="838"/>
      <c r="G68" s="794" t="s">
        <v>4554</v>
      </c>
      <c r="H68" s="790" t="s">
        <v>3836</v>
      </c>
      <c r="I68" s="833"/>
      <c r="J68" s="833"/>
    </row>
    <row r="69" spans="1:10" s="40" customFormat="1" hidden="1">
      <c r="A69" s="829">
        <v>210</v>
      </c>
      <c r="B69" s="834">
        <v>500</v>
      </c>
      <c r="C69" s="837">
        <v>103</v>
      </c>
      <c r="D69" s="837"/>
      <c r="E69" s="837"/>
      <c r="F69" s="838"/>
      <c r="G69" s="794" t="s">
        <v>4555</v>
      </c>
      <c r="H69" s="790" t="s">
        <v>3838</v>
      </c>
      <c r="I69" s="833"/>
      <c r="J69" s="833"/>
    </row>
    <row r="70" spans="1:10" s="40" customFormat="1" hidden="1">
      <c r="A70" s="829">
        <v>210</v>
      </c>
      <c r="B70" s="834">
        <v>500</v>
      </c>
      <c r="C70" s="837">
        <v>200</v>
      </c>
      <c r="D70" s="837"/>
      <c r="E70" s="837"/>
      <c r="F70" s="838"/>
      <c r="G70" s="794" t="s">
        <v>4556</v>
      </c>
      <c r="H70" s="790" t="s">
        <v>3898</v>
      </c>
      <c r="I70" s="833"/>
      <c r="J70" s="833"/>
    </row>
    <row r="71" spans="1:10" s="40" customFormat="1" hidden="1">
      <c r="A71" s="829">
        <v>210</v>
      </c>
      <c r="B71" s="834">
        <v>500</v>
      </c>
      <c r="C71" s="837">
        <v>201</v>
      </c>
      <c r="D71" s="837"/>
      <c r="E71" s="837"/>
      <c r="F71" s="838"/>
      <c r="G71" s="794" t="s">
        <v>4557</v>
      </c>
      <c r="H71" s="790" t="s">
        <v>3900</v>
      </c>
      <c r="I71" s="833"/>
      <c r="J71" s="833"/>
    </row>
    <row r="72" spans="1:10" s="40" customFormat="1" hidden="1">
      <c r="A72" s="829">
        <v>210</v>
      </c>
      <c r="B72" s="834">
        <v>500</v>
      </c>
      <c r="C72" s="837">
        <v>202</v>
      </c>
      <c r="D72" s="837"/>
      <c r="E72" s="837"/>
      <c r="F72" s="838"/>
      <c r="G72" s="794" t="s">
        <v>4558</v>
      </c>
      <c r="H72" s="790" t="s">
        <v>3902</v>
      </c>
      <c r="I72" s="833"/>
      <c r="J72" s="833"/>
    </row>
    <row r="73" spans="1:10" s="40" customFormat="1" hidden="1">
      <c r="A73" s="829">
        <v>210</v>
      </c>
      <c r="B73" s="834">
        <v>500</v>
      </c>
      <c r="C73" s="837">
        <v>203</v>
      </c>
      <c r="D73" s="837"/>
      <c r="E73" s="837"/>
      <c r="F73" s="838"/>
      <c r="G73" s="794" t="s">
        <v>4559</v>
      </c>
      <c r="H73" s="790" t="s">
        <v>3904</v>
      </c>
      <c r="I73" s="833"/>
      <c r="J73" s="833"/>
    </row>
    <row r="74" spans="1:10" s="40" customFormat="1" ht="25.5" hidden="1">
      <c r="A74" s="829">
        <v>210</v>
      </c>
      <c r="B74" s="834">
        <v>500</v>
      </c>
      <c r="C74" s="837">
        <v>204</v>
      </c>
      <c r="D74" s="837"/>
      <c r="E74" s="837"/>
      <c r="F74" s="838"/>
      <c r="G74" s="794" t="s">
        <v>4560</v>
      </c>
      <c r="H74" s="790" t="s">
        <v>3906</v>
      </c>
      <c r="I74" s="833"/>
      <c r="J74" s="833"/>
    </row>
    <row r="75" spans="1:10" s="40" customFormat="1" ht="25.5" hidden="1">
      <c r="A75" s="829">
        <v>210</v>
      </c>
      <c r="B75" s="834">
        <v>500</v>
      </c>
      <c r="C75" s="837">
        <v>205</v>
      </c>
      <c r="D75" s="837"/>
      <c r="E75" s="837"/>
      <c r="F75" s="838"/>
      <c r="G75" s="794" t="s">
        <v>4561</v>
      </c>
      <c r="H75" s="790" t="s">
        <v>3908</v>
      </c>
      <c r="I75" s="833"/>
      <c r="J75" s="833"/>
    </row>
    <row r="76" spans="1:10" s="40" customFormat="1" hidden="1">
      <c r="A76" s="829">
        <v>210</v>
      </c>
      <c r="B76" s="834">
        <v>500</v>
      </c>
      <c r="C76" s="837">
        <v>206</v>
      </c>
      <c r="D76" s="837"/>
      <c r="E76" s="837"/>
      <c r="F76" s="838"/>
      <c r="G76" s="794" t="s">
        <v>4562</v>
      </c>
      <c r="H76" s="790" t="s">
        <v>3910</v>
      </c>
      <c r="I76" s="833"/>
      <c r="J76" s="833"/>
    </row>
    <row r="77" spans="1:10" s="40" customFormat="1" ht="25.5" hidden="1">
      <c r="A77" s="829">
        <v>210</v>
      </c>
      <c r="B77" s="834">
        <v>500</v>
      </c>
      <c r="C77" s="837">
        <v>212</v>
      </c>
      <c r="D77" s="837"/>
      <c r="E77" s="837"/>
      <c r="F77" s="838"/>
      <c r="G77" s="794" t="s">
        <v>4563</v>
      </c>
      <c r="H77" s="790" t="s">
        <v>3912</v>
      </c>
      <c r="I77" s="833"/>
      <c r="J77" s="833"/>
    </row>
    <row r="78" spans="1:10" s="40" customFormat="1" hidden="1">
      <c r="A78" s="829">
        <v>210</v>
      </c>
      <c r="B78" s="834">
        <v>500</v>
      </c>
      <c r="C78" s="837">
        <v>207</v>
      </c>
      <c r="D78" s="837"/>
      <c r="E78" s="837"/>
      <c r="F78" s="838"/>
      <c r="G78" s="794" t="s">
        <v>4564</v>
      </c>
      <c r="H78" s="790" t="s">
        <v>3914</v>
      </c>
      <c r="I78" s="833"/>
      <c r="J78" s="833"/>
    </row>
    <row r="79" spans="1:10" s="40" customFormat="1" ht="25.5" hidden="1">
      <c r="A79" s="829">
        <v>210</v>
      </c>
      <c r="B79" s="834">
        <v>500</v>
      </c>
      <c r="C79" s="837">
        <v>208</v>
      </c>
      <c r="D79" s="837"/>
      <c r="E79" s="837"/>
      <c r="F79" s="838"/>
      <c r="G79" s="794" t="s">
        <v>4565</v>
      </c>
      <c r="H79" s="790" t="s">
        <v>3918</v>
      </c>
      <c r="I79" s="833"/>
      <c r="J79" s="833"/>
    </row>
    <row r="80" spans="1:10" s="40" customFormat="1" ht="25.5" hidden="1">
      <c r="A80" s="829">
        <v>210</v>
      </c>
      <c r="B80" s="834">
        <v>500</v>
      </c>
      <c r="C80" s="837">
        <v>209</v>
      </c>
      <c r="D80" s="837"/>
      <c r="E80" s="837"/>
      <c r="F80" s="838"/>
      <c r="G80" s="794" t="s">
        <v>4566</v>
      </c>
      <c r="H80" s="790" t="s">
        <v>3920</v>
      </c>
      <c r="I80" s="833"/>
      <c r="J80" s="833"/>
    </row>
    <row r="81" spans="1:10" s="40" customFormat="1" ht="25.5" hidden="1">
      <c r="A81" s="829">
        <v>210</v>
      </c>
      <c r="B81" s="834">
        <v>500</v>
      </c>
      <c r="C81" s="837">
        <v>210</v>
      </c>
      <c r="D81" s="837"/>
      <c r="E81" s="837"/>
      <c r="F81" s="838"/>
      <c r="G81" s="794" t="s">
        <v>4567</v>
      </c>
      <c r="H81" s="790" t="s">
        <v>3922</v>
      </c>
      <c r="I81" s="833"/>
      <c r="J81" s="833"/>
    </row>
    <row r="82" spans="1:10" s="40" customFormat="1" ht="25.5" hidden="1">
      <c r="A82" s="829">
        <v>210</v>
      </c>
      <c r="B82" s="834">
        <v>500</v>
      </c>
      <c r="C82" s="837">
        <v>211</v>
      </c>
      <c r="D82" s="837"/>
      <c r="E82" s="837"/>
      <c r="F82" s="838"/>
      <c r="G82" s="794" t="s">
        <v>4568</v>
      </c>
      <c r="H82" s="790" t="s">
        <v>3924</v>
      </c>
      <c r="I82" s="833"/>
      <c r="J82" s="833"/>
    </row>
    <row r="83" spans="1:10" s="40" customFormat="1" hidden="1">
      <c r="A83" s="829">
        <v>210</v>
      </c>
      <c r="B83" s="834">
        <v>500</v>
      </c>
      <c r="C83" s="837">
        <v>300</v>
      </c>
      <c r="D83" s="837"/>
      <c r="E83" s="837"/>
      <c r="F83" s="838"/>
      <c r="G83" s="794" t="s">
        <v>4569</v>
      </c>
      <c r="H83" s="790" t="s">
        <v>3926</v>
      </c>
      <c r="I83" s="833"/>
      <c r="J83" s="833"/>
    </row>
    <row r="84" spans="1:10" s="40" customFormat="1" ht="25.5" hidden="1">
      <c r="A84" s="829">
        <v>210</v>
      </c>
      <c r="B84" s="834">
        <v>500</v>
      </c>
      <c r="C84" s="837">
        <v>402</v>
      </c>
      <c r="D84" s="837"/>
      <c r="E84" s="837"/>
      <c r="F84" s="838"/>
      <c r="G84" s="794" t="s">
        <v>4570</v>
      </c>
      <c r="H84" s="790" t="s">
        <v>3933</v>
      </c>
      <c r="I84" s="833"/>
      <c r="J84" s="833"/>
    </row>
    <row r="85" spans="1:10" s="40" customFormat="1" ht="25.5" hidden="1">
      <c r="A85" s="829">
        <v>210</v>
      </c>
      <c r="B85" s="834">
        <v>500</v>
      </c>
      <c r="C85" s="837">
        <v>403</v>
      </c>
      <c r="D85" s="837"/>
      <c r="E85" s="837"/>
      <c r="F85" s="838"/>
      <c r="G85" s="794" t="s">
        <v>4571</v>
      </c>
      <c r="H85" s="790" t="s">
        <v>3935</v>
      </c>
      <c r="I85" s="833"/>
      <c r="J85" s="833"/>
    </row>
    <row r="86" spans="1:10" s="40" customFormat="1" ht="25.5" hidden="1">
      <c r="A86" s="829">
        <v>210</v>
      </c>
      <c r="B86" s="834">
        <v>500</v>
      </c>
      <c r="C86" s="837">
        <v>404</v>
      </c>
      <c r="D86" s="837"/>
      <c r="E86" s="837"/>
      <c r="F86" s="838"/>
      <c r="G86" s="794" t="s">
        <v>4572</v>
      </c>
      <c r="H86" s="790" t="s">
        <v>3937</v>
      </c>
      <c r="I86" s="833">
        <v>138035.79</v>
      </c>
      <c r="J86" s="833">
        <v>138036</v>
      </c>
    </row>
    <row r="87" spans="1:10" s="40" customFormat="1" ht="25.5" hidden="1">
      <c r="A87" s="829">
        <v>210</v>
      </c>
      <c r="B87" s="834">
        <v>500</v>
      </c>
      <c r="C87" s="837">
        <v>405</v>
      </c>
      <c r="D87" s="837"/>
      <c r="E87" s="837"/>
      <c r="F87" s="838"/>
      <c r="G87" s="794" t="s">
        <v>4573</v>
      </c>
      <c r="H87" s="790" t="s">
        <v>3939</v>
      </c>
      <c r="I87" s="833"/>
      <c r="J87" s="833"/>
    </row>
    <row r="88" spans="1:10" s="40" customFormat="1" ht="25.5" hidden="1">
      <c r="A88" s="829">
        <v>210</v>
      </c>
      <c r="B88" s="834">
        <v>500</v>
      </c>
      <c r="C88" s="837">
        <v>406</v>
      </c>
      <c r="D88" s="837"/>
      <c r="E88" s="837"/>
      <c r="F88" s="838"/>
      <c r="G88" s="794" t="s">
        <v>4574</v>
      </c>
      <c r="H88" s="790" t="s">
        <v>3941</v>
      </c>
      <c r="I88" s="833"/>
      <c r="J88" s="833"/>
    </row>
    <row r="89" spans="1:10" s="40" customFormat="1" ht="25.5" hidden="1">
      <c r="A89" s="829">
        <v>210</v>
      </c>
      <c r="B89" s="834">
        <v>500</v>
      </c>
      <c r="C89" s="837">
        <v>407</v>
      </c>
      <c r="D89" s="837"/>
      <c r="E89" s="837"/>
      <c r="F89" s="838"/>
      <c r="G89" s="794" t="s">
        <v>4575</v>
      </c>
      <c r="H89" s="790" t="s">
        <v>3943</v>
      </c>
      <c r="I89" s="833"/>
      <c r="J89" s="833"/>
    </row>
    <row r="90" spans="1:10" s="40" customFormat="1" ht="25.5" hidden="1">
      <c r="A90" s="829">
        <v>210</v>
      </c>
      <c r="B90" s="834">
        <v>500</v>
      </c>
      <c r="C90" s="837">
        <v>408</v>
      </c>
      <c r="D90" s="837"/>
      <c r="E90" s="837"/>
      <c r="F90" s="838"/>
      <c r="G90" s="794" t="s">
        <v>4576</v>
      </c>
      <c r="H90" s="790" t="s">
        <v>3945</v>
      </c>
      <c r="I90" s="833"/>
      <c r="J90" s="833"/>
    </row>
    <row r="91" spans="1:10" s="40" customFormat="1" ht="25.5" hidden="1">
      <c r="A91" s="829">
        <v>210</v>
      </c>
      <c r="B91" s="834">
        <v>500</v>
      </c>
      <c r="C91" s="837">
        <v>415</v>
      </c>
      <c r="D91" s="837"/>
      <c r="E91" s="837"/>
      <c r="F91" s="838"/>
      <c r="G91" s="794" t="s">
        <v>4577</v>
      </c>
      <c r="H91" s="790" t="s">
        <v>3947</v>
      </c>
      <c r="I91" s="833"/>
      <c r="J91" s="833"/>
    </row>
    <row r="92" spans="1:10" s="40" customFormat="1" hidden="1">
      <c r="A92" s="829">
        <v>210</v>
      </c>
      <c r="B92" s="834">
        <v>500</v>
      </c>
      <c r="C92" s="837">
        <v>409</v>
      </c>
      <c r="D92" s="837"/>
      <c r="E92" s="837"/>
      <c r="F92" s="838"/>
      <c r="G92" s="794" t="s">
        <v>4578</v>
      </c>
      <c r="H92" s="790" t="s">
        <v>3949</v>
      </c>
      <c r="I92" s="833"/>
      <c r="J92" s="833"/>
    </row>
    <row r="93" spans="1:10" s="40" customFormat="1" ht="25.5" hidden="1">
      <c r="A93" s="829">
        <v>210</v>
      </c>
      <c r="B93" s="834">
        <v>500</v>
      </c>
      <c r="C93" s="837">
        <v>416</v>
      </c>
      <c r="D93" s="837"/>
      <c r="E93" s="837"/>
      <c r="F93" s="838"/>
      <c r="G93" s="794" t="s">
        <v>4579</v>
      </c>
      <c r="H93" s="790" t="s">
        <v>3951</v>
      </c>
      <c r="I93" s="833"/>
      <c r="J93" s="833"/>
    </row>
    <row r="94" spans="1:10" s="40" customFormat="1" ht="25.5" hidden="1">
      <c r="A94" s="829">
        <v>210</v>
      </c>
      <c r="B94" s="834">
        <v>500</v>
      </c>
      <c r="C94" s="837">
        <v>410</v>
      </c>
      <c r="D94" s="837"/>
      <c r="E94" s="837"/>
      <c r="F94" s="838"/>
      <c r="G94" s="794" t="s">
        <v>4580</v>
      </c>
      <c r="H94" s="790" t="s">
        <v>3955</v>
      </c>
      <c r="I94" s="833"/>
      <c r="J94" s="833"/>
    </row>
    <row r="95" spans="1:10" s="40" customFormat="1" ht="25.5" hidden="1">
      <c r="A95" s="829">
        <v>210</v>
      </c>
      <c r="B95" s="834">
        <v>500</v>
      </c>
      <c r="C95" s="837">
        <v>411</v>
      </c>
      <c r="D95" s="837"/>
      <c r="E95" s="837"/>
      <c r="F95" s="838"/>
      <c r="G95" s="794" t="s">
        <v>4581</v>
      </c>
      <c r="H95" s="790" t="s">
        <v>3957</v>
      </c>
      <c r="I95" s="833"/>
      <c r="J95" s="833"/>
    </row>
    <row r="96" spans="1:10" s="40" customFormat="1" ht="25.5">
      <c r="A96" s="829">
        <v>210</v>
      </c>
      <c r="B96" s="834">
        <v>500</v>
      </c>
      <c r="C96" s="837">
        <v>412</v>
      </c>
      <c r="D96" s="837"/>
      <c r="E96" s="837"/>
      <c r="F96" s="838"/>
      <c r="G96" s="794" t="s">
        <v>4582</v>
      </c>
      <c r="H96" s="790" t="s">
        <v>3959</v>
      </c>
      <c r="I96" s="833"/>
      <c r="J96" s="833"/>
    </row>
    <row r="97" spans="1:10" s="40" customFormat="1">
      <c r="A97" s="829">
        <v>210</v>
      </c>
      <c r="B97" s="834">
        <v>500</v>
      </c>
      <c r="C97" s="837">
        <v>413</v>
      </c>
      <c r="D97" s="837"/>
      <c r="E97" s="837"/>
      <c r="F97" s="838"/>
      <c r="G97" s="794" t="s">
        <v>4583</v>
      </c>
      <c r="H97" s="790" t="s">
        <v>3963</v>
      </c>
      <c r="I97" s="833"/>
      <c r="J97" s="833"/>
    </row>
    <row r="98" spans="1:10" s="40" customFormat="1" ht="25.5">
      <c r="A98" s="829">
        <v>210</v>
      </c>
      <c r="B98" s="834">
        <v>500</v>
      </c>
      <c r="C98" s="837">
        <v>414</v>
      </c>
      <c r="D98" s="837"/>
      <c r="E98" s="837"/>
      <c r="F98" s="838"/>
      <c r="G98" s="794" t="s">
        <v>4584</v>
      </c>
      <c r="H98" s="790" t="s">
        <v>3965</v>
      </c>
      <c r="I98" s="833"/>
      <c r="J98" s="833"/>
    </row>
    <row r="99" spans="1:10" s="40" customFormat="1">
      <c r="A99" s="829">
        <v>210</v>
      </c>
      <c r="B99" s="834">
        <v>500</v>
      </c>
      <c r="C99" s="837">
        <v>500</v>
      </c>
      <c r="D99" s="837"/>
      <c r="E99" s="837"/>
      <c r="F99" s="838"/>
      <c r="G99" s="794" t="s">
        <v>4585</v>
      </c>
      <c r="H99" s="790" t="s">
        <v>3971</v>
      </c>
      <c r="I99" s="833"/>
      <c r="J99" s="833"/>
    </row>
    <row r="100" spans="1:10" s="40" customFormat="1">
      <c r="A100" s="829">
        <v>210</v>
      </c>
      <c r="B100" s="834">
        <v>500</v>
      </c>
      <c r="C100" s="837">
        <v>604</v>
      </c>
      <c r="D100" s="837"/>
      <c r="E100" s="837"/>
      <c r="F100" s="838"/>
      <c r="G100" s="794" t="s">
        <v>4586</v>
      </c>
      <c r="H100" s="790" t="s">
        <v>3987</v>
      </c>
      <c r="I100" s="833">
        <v>128506.61</v>
      </c>
      <c r="J100" s="833">
        <v>124985</v>
      </c>
    </row>
    <row r="101" spans="1:10" s="40" customFormat="1">
      <c r="A101" s="829">
        <v>210</v>
      </c>
      <c r="B101" s="834">
        <v>500</v>
      </c>
      <c r="C101" s="837">
        <v>700</v>
      </c>
      <c r="D101" s="837"/>
      <c r="E101" s="837"/>
      <c r="F101" s="838"/>
      <c r="G101" s="794" t="s">
        <v>4587</v>
      </c>
      <c r="H101" s="790" t="s">
        <v>3993</v>
      </c>
      <c r="I101" s="833"/>
      <c r="J101" s="833"/>
    </row>
    <row r="102" spans="1:10" s="40" customFormat="1">
      <c r="A102" s="829">
        <v>210</v>
      </c>
      <c r="B102" s="834">
        <v>500</v>
      </c>
      <c r="C102" s="837">
        <v>701</v>
      </c>
      <c r="D102" s="837"/>
      <c r="E102" s="837"/>
      <c r="F102" s="838"/>
      <c r="G102" s="794" t="s">
        <v>4588</v>
      </c>
      <c r="H102" s="790" t="s">
        <v>3995</v>
      </c>
      <c r="I102" s="833"/>
      <c r="J102" s="833"/>
    </row>
    <row r="103" spans="1:10" s="40" customFormat="1">
      <c r="A103" s="829">
        <v>210</v>
      </c>
      <c r="B103" s="834">
        <v>500</v>
      </c>
      <c r="C103" s="837">
        <v>702</v>
      </c>
      <c r="D103" s="837"/>
      <c r="E103" s="837"/>
      <c r="F103" s="838"/>
      <c r="G103" s="794" t="s">
        <v>4589</v>
      </c>
      <c r="H103" s="790" t="s">
        <v>3997</v>
      </c>
      <c r="I103" s="833"/>
      <c r="J103" s="833"/>
    </row>
    <row r="104" spans="1:10" s="40" customFormat="1">
      <c r="A104" s="829">
        <v>210</v>
      </c>
      <c r="B104" s="834">
        <v>500</v>
      </c>
      <c r="C104" s="837">
        <v>703</v>
      </c>
      <c r="D104" s="837"/>
      <c r="E104" s="837"/>
      <c r="F104" s="838"/>
      <c r="G104" s="794" t="s">
        <v>4590</v>
      </c>
      <c r="H104" s="790" t="s">
        <v>3999</v>
      </c>
      <c r="I104" s="833"/>
      <c r="J104" s="833"/>
    </row>
    <row r="105" spans="1:10" s="40" customFormat="1">
      <c r="A105" s="829">
        <v>210</v>
      </c>
      <c r="B105" s="834">
        <v>500</v>
      </c>
      <c r="C105" s="837">
        <v>900</v>
      </c>
      <c r="D105" s="837"/>
      <c r="E105" s="837"/>
      <c r="F105" s="838"/>
      <c r="G105" s="794" t="s">
        <v>4591</v>
      </c>
      <c r="H105" s="790" t="s">
        <v>4003</v>
      </c>
      <c r="I105" s="833">
        <v>116766.43</v>
      </c>
      <c r="J105" s="833">
        <v>89682</v>
      </c>
    </row>
    <row r="106" spans="1:10" s="40" customFormat="1">
      <c r="A106" s="829">
        <v>210</v>
      </c>
      <c r="B106" s="834">
        <v>500</v>
      </c>
      <c r="C106" s="837">
        <v>901</v>
      </c>
      <c r="D106" s="837"/>
      <c r="E106" s="837"/>
      <c r="F106" s="838"/>
      <c r="G106" s="794" t="s">
        <v>4592</v>
      </c>
      <c r="H106" s="790" t="s">
        <v>4005</v>
      </c>
      <c r="I106" s="833"/>
      <c r="J106" s="833"/>
    </row>
    <row r="107" spans="1:10" s="40" customFormat="1">
      <c r="A107" s="829">
        <v>210</v>
      </c>
      <c r="B107" s="834">
        <v>500</v>
      </c>
      <c r="C107" s="837">
        <v>902</v>
      </c>
      <c r="D107" s="837"/>
      <c r="E107" s="837"/>
      <c r="F107" s="838"/>
      <c r="G107" s="794" t="s">
        <v>4593</v>
      </c>
      <c r="H107" s="790" t="s">
        <v>4007</v>
      </c>
      <c r="I107" s="833">
        <v>3874.21</v>
      </c>
      <c r="J107" s="833"/>
    </row>
    <row r="108" spans="1:10" s="40" customFormat="1">
      <c r="A108" s="829">
        <v>210</v>
      </c>
      <c r="B108" s="834">
        <v>500</v>
      </c>
      <c r="C108" s="837">
        <v>903</v>
      </c>
      <c r="D108" s="837"/>
      <c r="E108" s="837"/>
      <c r="F108" s="838"/>
      <c r="G108" s="794" t="s">
        <v>4594</v>
      </c>
      <c r="H108" s="790" t="s">
        <v>4009</v>
      </c>
      <c r="I108" s="833"/>
      <c r="J108" s="833"/>
    </row>
    <row r="109" spans="1:10" s="40" customFormat="1">
      <c r="A109" s="829">
        <v>210</v>
      </c>
      <c r="B109" s="834">
        <v>500</v>
      </c>
      <c r="C109" s="837">
        <v>990</v>
      </c>
      <c r="D109" s="837"/>
      <c r="E109" s="837"/>
      <c r="F109" s="838"/>
      <c r="G109" s="794" t="s">
        <v>4595</v>
      </c>
      <c r="H109" s="790" t="s">
        <v>4011</v>
      </c>
      <c r="I109" s="833"/>
      <c r="J109" s="833"/>
    </row>
    <row r="110" spans="1:10" s="40" customFormat="1" ht="25.5">
      <c r="A110" s="829">
        <v>210</v>
      </c>
      <c r="B110" s="834">
        <v>500</v>
      </c>
      <c r="C110" s="837">
        <v>991</v>
      </c>
      <c r="D110" s="830"/>
      <c r="E110" s="830"/>
      <c r="F110" s="852"/>
      <c r="G110" s="799" t="s">
        <v>4596</v>
      </c>
      <c r="H110" s="790" t="s">
        <v>4013</v>
      </c>
      <c r="I110" s="833"/>
      <c r="J110" s="833"/>
    </row>
    <row r="111" spans="1:10" s="40" customFormat="1">
      <c r="A111" s="853">
        <v>220</v>
      </c>
      <c r="B111" s="854">
        <v>0</v>
      </c>
      <c r="C111" s="854">
        <v>0</v>
      </c>
      <c r="D111" s="854">
        <v>0</v>
      </c>
      <c r="E111" s="854">
        <v>0</v>
      </c>
      <c r="F111" s="855">
        <v>0</v>
      </c>
      <c r="G111" s="856" t="s">
        <v>3648</v>
      </c>
      <c r="H111" s="776"/>
      <c r="I111" s="848"/>
      <c r="J111" s="848"/>
    </row>
    <row r="112" spans="1:10" s="40" customFormat="1">
      <c r="A112" s="829">
        <v>220</v>
      </c>
      <c r="B112" s="837">
        <v>100</v>
      </c>
      <c r="C112" s="837"/>
      <c r="D112" s="837"/>
      <c r="E112" s="837"/>
      <c r="F112" s="838"/>
      <c r="G112" s="794" t="s">
        <v>4597</v>
      </c>
      <c r="H112" s="753" t="s">
        <v>4117</v>
      </c>
      <c r="I112" s="833"/>
      <c r="J112" s="833"/>
    </row>
    <row r="113" spans="1:10" s="747" customFormat="1">
      <c r="A113" s="829">
        <v>220</v>
      </c>
      <c r="B113" s="834">
        <v>200</v>
      </c>
      <c r="C113" s="834"/>
      <c r="D113" s="834"/>
      <c r="E113" s="834"/>
      <c r="F113" s="835"/>
      <c r="G113" s="836" t="s">
        <v>4598</v>
      </c>
      <c r="H113" s="753"/>
      <c r="I113" s="789"/>
      <c r="J113" s="789"/>
    </row>
    <row r="114" spans="1:10" s="40" customFormat="1">
      <c r="A114" s="829">
        <v>220</v>
      </c>
      <c r="B114" s="834">
        <v>200</v>
      </c>
      <c r="C114" s="837">
        <v>100</v>
      </c>
      <c r="D114" s="837"/>
      <c r="E114" s="837"/>
      <c r="F114" s="838"/>
      <c r="G114" s="794" t="s">
        <v>4599</v>
      </c>
      <c r="H114" s="753" t="s">
        <v>4121</v>
      </c>
      <c r="I114" s="810">
        <v>3142281.53</v>
      </c>
      <c r="J114" s="810">
        <v>3070898</v>
      </c>
    </row>
    <row r="115" spans="1:10" s="40" customFormat="1">
      <c r="A115" s="829">
        <v>220</v>
      </c>
      <c r="B115" s="834">
        <v>200</v>
      </c>
      <c r="C115" s="837">
        <v>200</v>
      </c>
      <c r="D115" s="837"/>
      <c r="E115" s="837"/>
      <c r="F115" s="838"/>
      <c r="G115" s="794" t="s">
        <v>4600</v>
      </c>
      <c r="H115" s="753" t="s">
        <v>4123</v>
      </c>
      <c r="I115" s="810">
        <v>887000</v>
      </c>
      <c r="J115" s="810">
        <v>869559</v>
      </c>
    </row>
    <row r="116" spans="1:10" s="40" customFormat="1">
      <c r="A116" s="829">
        <v>220</v>
      </c>
      <c r="B116" s="834">
        <v>200</v>
      </c>
      <c r="C116" s="837">
        <v>300</v>
      </c>
      <c r="D116" s="837"/>
      <c r="E116" s="837"/>
      <c r="F116" s="838"/>
      <c r="G116" s="794" t="s">
        <v>4601</v>
      </c>
      <c r="H116" s="753" t="s">
        <v>4125</v>
      </c>
      <c r="I116" s="833"/>
      <c r="J116" s="833"/>
    </row>
    <row r="117" spans="1:10" s="40" customFormat="1">
      <c r="A117" s="829">
        <v>220</v>
      </c>
      <c r="B117" s="834">
        <v>200</v>
      </c>
      <c r="C117" s="837">
        <v>400</v>
      </c>
      <c r="D117" s="837"/>
      <c r="E117" s="837"/>
      <c r="F117" s="838"/>
      <c r="G117" s="794" t="s">
        <v>4602</v>
      </c>
      <c r="H117" s="753" t="s">
        <v>4127</v>
      </c>
      <c r="I117" s="833"/>
      <c r="J117" s="833"/>
    </row>
    <row r="118" spans="1:10" s="40" customFormat="1">
      <c r="A118" s="829">
        <v>220</v>
      </c>
      <c r="B118" s="834">
        <v>200</v>
      </c>
      <c r="C118" s="837">
        <v>500</v>
      </c>
      <c r="D118" s="837"/>
      <c r="E118" s="837"/>
      <c r="F118" s="838"/>
      <c r="G118" s="794" t="s">
        <v>4884</v>
      </c>
      <c r="H118" s="753" t="s">
        <v>4129</v>
      </c>
      <c r="I118" s="833"/>
      <c r="J118" s="833"/>
    </row>
    <row r="119" spans="1:10" s="40" customFormat="1">
      <c r="A119" s="829">
        <v>220</v>
      </c>
      <c r="B119" s="834">
        <v>200</v>
      </c>
      <c r="C119" s="837">
        <v>510</v>
      </c>
      <c r="D119" s="837"/>
      <c r="E119" s="837"/>
      <c r="F119" s="838"/>
      <c r="G119" s="794" t="s">
        <v>4879</v>
      </c>
      <c r="H119" s="753"/>
      <c r="I119" s="833"/>
      <c r="J119" s="833"/>
    </row>
    <row r="120" spans="1:10" s="40" customFormat="1">
      <c r="A120" s="829">
        <v>220</v>
      </c>
      <c r="B120" s="834">
        <v>200</v>
      </c>
      <c r="C120" s="837">
        <v>600</v>
      </c>
      <c r="D120" s="837"/>
      <c r="E120" s="837"/>
      <c r="F120" s="838"/>
      <c r="G120" s="794" t="s">
        <v>4603</v>
      </c>
      <c r="H120" s="753" t="s">
        <v>4131</v>
      </c>
      <c r="I120" s="833"/>
      <c r="J120" s="833"/>
    </row>
    <row r="121" spans="1:10" s="40" customFormat="1">
      <c r="A121" s="829">
        <v>220</v>
      </c>
      <c r="B121" s="834">
        <v>200</v>
      </c>
      <c r="C121" s="834">
        <v>900</v>
      </c>
      <c r="D121" s="834"/>
      <c r="E121" s="834"/>
      <c r="F121" s="835"/>
      <c r="G121" s="836" t="s">
        <v>4604</v>
      </c>
      <c r="H121" s="753" t="s">
        <v>4133</v>
      </c>
      <c r="I121" s="789"/>
      <c r="J121" s="789"/>
    </row>
    <row r="122" spans="1:10" s="40" customFormat="1">
      <c r="A122" s="829">
        <v>220</v>
      </c>
      <c r="B122" s="834">
        <v>200</v>
      </c>
      <c r="C122" s="834">
        <v>900</v>
      </c>
      <c r="D122" s="837">
        <v>100</v>
      </c>
      <c r="E122" s="841"/>
      <c r="F122" s="842"/>
      <c r="G122" s="839" t="s">
        <v>4605</v>
      </c>
      <c r="H122" s="753"/>
      <c r="I122" s="833"/>
      <c r="J122" s="833"/>
    </row>
    <row r="123" spans="1:10" s="40" customFormat="1">
      <c r="A123" s="829">
        <v>220</v>
      </c>
      <c r="B123" s="834">
        <v>200</v>
      </c>
      <c r="C123" s="834">
        <v>900</v>
      </c>
      <c r="D123" s="837">
        <v>200</v>
      </c>
      <c r="E123" s="841"/>
      <c r="F123" s="842"/>
      <c r="G123" s="839" t="s">
        <v>4606</v>
      </c>
      <c r="H123" s="753"/>
      <c r="I123" s="833"/>
      <c r="J123" s="833"/>
    </row>
    <row r="124" spans="1:10" s="40" customFormat="1">
      <c r="A124" s="829">
        <v>220</v>
      </c>
      <c r="B124" s="834">
        <v>200</v>
      </c>
      <c r="C124" s="834">
        <v>900</v>
      </c>
      <c r="D124" s="837">
        <v>900</v>
      </c>
      <c r="E124" s="837"/>
      <c r="F124" s="838"/>
      <c r="G124" s="839" t="s">
        <v>4604</v>
      </c>
      <c r="H124" s="753"/>
      <c r="I124" s="833">
        <v>636732</v>
      </c>
      <c r="J124" s="833">
        <v>636732</v>
      </c>
    </row>
    <row r="125" spans="1:10" s="40" customFormat="1">
      <c r="A125" s="829">
        <v>220</v>
      </c>
      <c r="B125" s="834">
        <v>300</v>
      </c>
      <c r="C125" s="834"/>
      <c r="D125" s="857"/>
      <c r="E125" s="857"/>
      <c r="F125" s="858"/>
      <c r="G125" s="836" t="s">
        <v>4607</v>
      </c>
      <c r="H125" s="753"/>
      <c r="I125" s="789"/>
      <c r="J125" s="789"/>
    </row>
    <row r="126" spans="1:10" s="40" customFormat="1">
      <c r="A126" s="829">
        <v>220</v>
      </c>
      <c r="B126" s="834">
        <v>300</v>
      </c>
      <c r="C126" s="837">
        <v>100</v>
      </c>
      <c r="D126" s="841"/>
      <c r="E126" s="841"/>
      <c r="F126" s="842"/>
      <c r="G126" s="794" t="s">
        <v>4608</v>
      </c>
      <c r="H126" s="753" t="s">
        <v>4137</v>
      </c>
      <c r="I126" s="833"/>
      <c r="J126" s="833"/>
    </row>
    <row r="127" spans="1:10" s="40" customFormat="1">
      <c r="A127" s="829">
        <v>220</v>
      </c>
      <c r="B127" s="834">
        <v>300</v>
      </c>
      <c r="C127" s="837">
        <v>200</v>
      </c>
      <c r="D127" s="841"/>
      <c r="E127" s="841"/>
      <c r="F127" s="842"/>
      <c r="G127" s="794" t="s">
        <v>4609</v>
      </c>
      <c r="H127" s="753" t="s">
        <v>4139</v>
      </c>
      <c r="I127" s="833"/>
      <c r="J127" s="833"/>
    </row>
    <row r="128" spans="1:10" s="40" customFormat="1">
      <c r="A128" s="829">
        <v>220</v>
      </c>
      <c r="B128" s="834">
        <v>300</v>
      </c>
      <c r="C128" s="830">
        <v>300</v>
      </c>
      <c r="D128" s="841"/>
      <c r="E128" s="841"/>
      <c r="F128" s="842"/>
      <c r="G128" s="794" t="s">
        <v>4610</v>
      </c>
      <c r="H128" s="753" t="s">
        <v>4141</v>
      </c>
      <c r="I128" s="833"/>
      <c r="J128" s="833"/>
    </row>
    <row r="129" spans="1:10" s="40" customFormat="1">
      <c r="A129" s="829">
        <v>220</v>
      </c>
      <c r="B129" s="834">
        <v>300</v>
      </c>
      <c r="C129" s="837">
        <v>400</v>
      </c>
      <c r="D129" s="841"/>
      <c r="E129" s="841"/>
      <c r="F129" s="842"/>
      <c r="G129" s="794" t="s">
        <v>4611</v>
      </c>
      <c r="H129" s="753" t="s">
        <v>4143</v>
      </c>
      <c r="I129" s="833"/>
      <c r="J129" s="833"/>
    </row>
    <row r="130" spans="1:10" s="40" customFormat="1">
      <c r="A130" s="829">
        <v>220</v>
      </c>
      <c r="B130" s="834">
        <v>300</v>
      </c>
      <c r="C130" s="837">
        <v>500</v>
      </c>
      <c r="D130" s="837"/>
      <c r="E130" s="837"/>
      <c r="F130" s="838"/>
      <c r="G130" s="794" t="s">
        <v>4612</v>
      </c>
      <c r="H130" s="753" t="s">
        <v>4145</v>
      </c>
      <c r="I130" s="833"/>
      <c r="J130" s="833"/>
    </row>
    <row r="131" spans="1:10" s="40" customFormat="1">
      <c r="A131" s="829">
        <v>220</v>
      </c>
      <c r="B131" s="834">
        <v>300</v>
      </c>
      <c r="C131" s="837">
        <v>600</v>
      </c>
      <c r="D131" s="841"/>
      <c r="E131" s="841"/>
      <c r="F131" s="842"/>
      <c r="G131" s="794" t="s">
        <v>4613</v>
      </c>
      <c r="H131" s="753" t="s">
        <v>4147</v>
      </c>
      <c r="I131" s="833"/>
      <c r="J131" s="833"/>
    </row>
    <row r="132" spans="1:10" s="40" customFormat="1">
      <c r="A132" s="829">
        <v>220</v>
      </c>
      <c r="B132" s="834">
        <v>300</v>
      </c>
      <c r="C132" s="830">
        <v>700</v>
      </c>
      <c r="D132" s="841"/>
      <c r="E132" s="841"/>
      <c r="F132" s="842"/>
      <c r="G132" s="794" t="s">
        <v>4614</v>
      </c>
      <c r="H132" s="753" t="s">
        <v>4149</v>
      </c>
      <c r="I132" s="833"/>
      <c r="J132" s="833"/>
    </row>
    <row r="133" spans="1:10" s="40" customFormat="1" ht="25.5">
      <c r="A133" s="829">
        <v>220</v>
      </c>
      <c r="B133" s="834">
        <v>300</v>
      </c>
      <c r="C133" s="830">
        <v>800</v>
      </c>
      <c r="D133" s="841"/>
      <c r="E133" s="841"/>
      <c r="F133" s="842"/>
      <c r="G133" s="794" t="s">
        <v>4615</v>
      </c>
      <c r="H133" s="753" t="s">
        <v>4151</v>
      </c>
      <c r="I133" s="833"/>
      <c r="J133" s="833"/>
    </row>
    <row r="134" spans="1:10" s="40" customFormat="1">
      <c r="A134" s="829">
        <v>220</v>
      </c>
      <c r="B134" s="834">
        <v>400</v>
      </c>
      <c r="C134" s="834"/>
      <c r="D134" s="857"/>
      <c r="E134" s="857"/>
      <c r="F134" s="858"/>
      <c r="G134" s="836" t="s">
        <v>4616</v>
      </c>
      <c r="H134" s="753" t="s">
        <v>4153</v>
      </c>
      <c r="I134" s="789"/>
      <c r="J134" s="789"/>
    </row>
    <row r="135" spans="1:10" s="40" customFormat="1" ht="25.5">
      <c r="A135" s="829">
        <v>220</v>
      </c>
      <c r="B135" s="834">
        <v>400</v>
      </c>
      <c r="C135" s="837">
        <v>50</v>
      </c>
      <c r="D135" s="857"/>
      <c r="E135" s="857"/>
      <c r="F135" s="858"/>
      <c r="G135" s="794" t="s">
        <v>4617</v>
      </c>
      <c r="H135" s="753" t="s">
        <v>4155</v>
      </c>
      <c r="I135" s="833">
        <v>2286917.41</v>
      </c>
      <c r="J135" s="833">
        <v>2033747</v>
      </c>
    </row>
    <row r="136" spans="1:10" s="40" customFormat="1" ht="25.5">
      <c r="A136" s="829">
        <v>220</v>
      </c>
      <c r="B136" s="834">
        <v>400</v>
      </c>
      <c r="C136" s="837">
        <v>100</v>
      </c>
      <c r="D136" s="841"/>
      <c r="E136" s="841"/>
      <c r="F136" s="842"/>
      <c r="G136" s="794" t="s">
        <v>4618</v>
      </c>
      <c r="H136" s="753" t="s">
        <v>4157</v>
      </c>
      <c r="I136" s="833"/>
      <c r="J136" s="833"/>
    </row>
    <row r="137" spans="1:10" s="40" customFormat="1">
      <c r="A137" s="829">
        <v>220</v>
      </c>
      <c r="B137" s="834">
        <v>400</v>
      </c>
      <c r="C137" s="837">
        <v>200</v>
      </c>
      <c r="D137" s="841"/>
      <c r="E137" s="841"/>
      <c r="F137" s="842"/>
      <c r="G137" s="794" t="s">
        <v>4619</v>
      </c>
      <c r="H137" s="753" t="s">
        <v>4159</v>
      </c>
      <c r="I137" s="833">
        <v>1821243.3</v>
      </c>
      <c r="J137" s="833">
        <v>2039015</v>
      </c>
    </row>
    <row r="138" spans="1:10" s="40" customFormat="1">
      <c r="A138" s="829">
        <v>220</v>
      </c>
      <c r="B138" s="834">
        <v>400</v>
      </c>
      <c r="C138" s="837">
        <v>300</v>
      </c>
      <c r="D138" s="841"/>
      <c r="E138" s="841"/>
      <c r="F138" s="842"/>
      <c r="G138" s="794" t="s">
        <v>4620</v>
      </c>
      <c r="H138" s="753" t="s">
        <v>4161</v>
      </c>
      <c r="I138" s="833">
        <v>2443457.92</v>
      </c>
      <c r="J138" s="833">
        <v>4694074</v>
      </c>
    </row>
    <row r="139" spans="1:10" s="40" customFormat="1">
      <c r="A139" s="829">
        <v>220</v>
      </c>
      <c r="B139" s="834">
        <v>400</v>
      </c>
      <c r="C139" s="834">
        <v>400</v>
      </c>
      <c r="D139" s="857"/>
      <c r="E139" s="857"/>
      <c r="F139" s="858"/>
      <c r="G139" s="836" t="s">
        <v>4621</v>
      </c>
      <c r="H139" s="753" t="s">
        <v>4163</v>
      </c>
      <c r="I139" s="789"/>
      <c r="J139" s="789"/>
    </row>
    <row r="140" spans="1:10" s="40" customFormat="1">
      <c r="A140" s="829">
        <v>220</v>
      </c>
      <c r="B140" s="834">
        <v>400</v>
      </c>
      <c r="C140" s="834">
        <v>400</v>
      </c>
      <c r="D140" s="837">
        <v>100</v>
      </c>
      <c r="E140" s="841"/>
      <c r="F140" s="842"/>
      <c r="G140" s="839" t="s">
        <v>4622</v>
      </c>
      <c r="H140" s="753"/>
      <c r="I140" s="833">
        <v>253473.9</v>
      </c>
      <c r="J140" s="833">
        <v>157034</v>
      </c>
    </row>
    <row r="141" spans="1:10" s="40" customFormat="1">
      <c r="A141" s="859">
        <v>220</v>
      </c>
      <c r="B141" s="860">
        <v>400</v>
      </c>
      <c r="C141" s="860">
        <v>400</v>
      </c>
      <c r="D141" s="861">
        <v>900</v>
      </c>
      <c r="E141" s="862"/>
      <c r="F141" s="863"/>
      <c r="G141" s="864" t="s">
        <v>4623</v>
      </c>
      <c r="H141" s="753"/>
      <c r="I141" s="833">
        <v>5704051.9400000004</v>
      </c>
      <c r="J141" s="833">
        <v>5927768</v>
      </c>
    </row>
    <row r="142" spans="1:10" s="40" customFormat="1">
      <c r="A142" s="829">
        <v>220</v>
      </c>
      <c r="B142" s="834">
        <v>500</v>
      </c>
      <c r="C142" s="834"/>
      <c r="D142" s="857"/>
      <c r="E142" s="857"/>
      <c r="F142" s="858"/>
      <c r="G142" s="836" t="s">
        <v>4624</v>
      </c>
      <c r="H142" s="753"/>
      <c r="I142" s="789"/>
      <c r="J142" s="789"/>
    </row>
    <row r="143" spans="1:10" s="40" customFormat="1">
      <c r="A143" s="829">
        <v>220</v>
      </c>
      <c r="B143" s="834">
        <v>500</v>
      </c>
      <c r="C143" s="837">
        <v>100</v>
      </c>
      <c r="D143" s="841"/>
      <c r="E143" s="841"/>
      <c r="F143" s="842"/>
      <c r="G143" s="794" t="s">
        <v>4625</v>
      </c>
      <c r="H143" s="753" t="s">
        <v>4167</v>
      </c>
      <c r="I143" s="833"/>
      <c r="J143" s="833"/>
    </row>
    <row r="144" spans="1:10" s="40" customFormat="1">
      <c r="A144" s="829">
        <v>220</v>
      </c>
      <c r="B144" s="834">
        <v>500</v>
      </c>
      <c r="C144" s="834">
        <v>200</v>
      </c>
      <c r="D144" s="857"/>
      <c r="E144" s="857"/>
      <c r="F144" s="858"/>
      <c r="G144" s="836" t="s">
        <v>4626</v>
      </c>
      <c r="H144" s="753"/>
      <c r="I144" s="789"/>
      <c r="J144" s="789"/>
    </row>
    <row r="145" spans="1:10" s="40" customFormat="1">
      <c r="A145" s="829">
        <v>220</v>
      </c>
      <c r="B145" s="834">
        <v>500</v>
      </c>
      <c r="C145" s="834">
        <v>200</v>
      </c>
      <c r="D145" s="837">
        <v>100</v>
      </c>
      <c r="E145" s="837"/>
      <c r="F145" s="838"/>
      <c r="G145" s="794" t="s">
        <v>4627</v>
      </c>
      <c r="H145" s="753" t="s">
        <v>4171</v>
      </c>
      <c r="I145" s="833">
        <v>2245968.25</v>
      </c>
      <c r="J145" s="833">
        <v>1325554</v>
      </c>
    </row>
    <row r="146" spans="1:10" s="40" customFormat="1">
      <c r="A146" s="829">
        <v>220</v>
      </c>
      <c r="B146" s="834">
        <v>500</v>
      </c>
      <c r="C146" s="834">
        <v>200</v>
      </c>
      <c r="D146" s="837">
        <v>200</v>
      </c>
      <c r="E146" s="837"/>
      <c r="F146" s="838"/>
      <c r="G146" s="794" t="s">
        <v>4628</v>
      </c>
      <c r="H146" s="753" t="s">
        <v>4173</v>
      </c>
      <c r="I146" s="833"/>
      <c r="J146" s="833"/>
    </row>
    <row r="147" spans="1:10" s="40" customFormat="1">
      <c r="A147" s="829">
        <v>220</v>
      </c>
      <c r="B147" s="834">
        <v>500</v>
      </c>
      <c r="C147" s="834">
        <v>200</v>
      </c>
      <c r="D147" s="837">
        <v>300</v>
      </c>
      <c r="E147" s="837"/>
      <c r="F147" s="838"/>
      <c r="G147" s="794" t="s">
        <v>4629</v>
      </c>
      <c r="H147" s="753" t="s">
        <v>4175</v>
      </c>
      <c r="I147" s="833"/>
      <c r="J147" s="833"/>
    </row>
    <row r="148" spans="1:10" s="40" customFormat="1">
      <c r="A148" s="829">
        <v>220</v>
      </c>
      <c r="B148" s="834">
        <v>500</v>
      </c>
      <c r="C148" s="834">
        <v>900</v>
      </c>
      <c r="D148" s="834"/>
      <c r="E148" s="834"/>
      <c r="F148" s="858"/>
      <c r="G148" s="865" t="s">
        <v>4630</v>
      </c>
      <c r="H148" s="753" t="s">
        <v>4177</v>
      </c>
      <c r="I148" s="789"/>
      <c r="J148" s="789"/>
    </row>
    <row r="149" spans="1:10" s="40" customFormat="1">
      <c r="A149" s="829">
        <v>220</v>
      </c>
      <c r="B149" s="834">
        <v>500</v>
      </c>
      <c r="C149" s="834">
        <v>900</v>
      </c>
      <c r="D149" s="837">
        <v>100</v>
      </c>
      <c r="E149" s="841"/>
      <c r="F149" s="842"/>
      <c r="G149" s="839" t="s">
        <v>4631</v>
      </c>
      <c r="H149" s="790"/>
      <c r="I149" s="833">
        <v>567206.51</v>
      </c>
      <c r="J149" s="833">
        <v>567206</v>
      </c>
    </row>
    <row r="150" spans="1:10" s="40" customFormat="1">
      <c r="A150" s="829">
        <v>220</v>
      </c>
      <c r="B150" s="834">
        <v>500</v>
      </c>
      <c r="C150" s="834">
        <v>900</v>
      </c>
      <c r="D150" s="837">
        <v>900</v>
      </c>
      <c r="E150" s="837"/>
      <c r="F150" s="838"/>
      <c r="G150" s="839" t="s">
        <v>4630</v>
      </c>
      <c r="H150" s="753"/>
      <c r="I150" s="833"/>
      <c r="J150" s="833"/>
    </row>
    <row r="151" spans="1:10" s="40" customFormat="1">
      <c r="A151" s="829">
        <v>220</v>
      </c>
      <c r="B151" s="834">
        <v>500</v>
      </c>
      <c r="C151" s="834">
        <v>950</v>
      </c>
      <c r="D151" s="830"/>
      <c r="E151" s="830"/>
      <c r="F151" s="852"/>
      <c r="G151" s="866" t="s">
        <v>4632</v>
      </c>
      <c r="H151" s="753" t="s">
        <v>4179</v>
      </c>
      <c r="I151" s="833">
        <v>289104.57</v>
      </c>
      <c r="J151" s="833">
        <v>181172</v>
      </c>
    </row>
    <row r="152" spans="1:10" s="40" customFormat="1">
      <c r="A152" s="853">
        <v>230</v>
      </c>
      <c r="B152" s="854">
        <v>0</v>
      </c>
      <c r="C152" s="854">
        <v>0</v>
      </c>
      <c r="D152" s="854">
        <v>0</v>
      </c>
      <c r="E152" s="854">
        <v>0</v>
      </c>
      <c r="F152" s="855">
        <v>0</v>
      </c>
      <c r="G152" s="856" t="s">
        <v>3654</v>
      </c>
      <c r="H152" s="776"/>
      <c r="I152" s="848"/>
      <c r="J152" s="848"/>
    </row>
    <row r="153" spans="1:10" s="40" customFormat="1">
      <c r="A153" s="867">
        <v>230</v>
      </c>
      <c r="B153" s="837">
        <v>100</v>
      </c>
      <c r="C153" s="837"/>
      <c r="D153" s="837"/>
      <c r="E153" s="837"/>
      <c r="F153" s="838"/>
      <c r="G153" s="794" t="s">
        <v>4633</v>
      </c>
      <c r="H153" s="753" t="s">
        <v>4183</v>
      </c>
      <c r="I153" s="833"/>
      <c r="J153" s="833"/>
    </row>
    <row r="154" spans="1:10" s="747" customFormat="1">
      <c r="A154" s="867">
        <v>230</v>
      </c>
      <c r="B154" s="837">
        <v>200</v>
      </c>
      <c r="C154" s="837"/>
      <c r="D154" s="837"/>
      <c r="E154" s="837"/>
      <c r="F154" s="838"/>
      <c r="G154" s="794" t="s">
        <v>4634</v>
      </c>
      <c r="H154" s="753" t="s">
        <v>4185</v>
      </c>
      <c r="I154" s="833"/>
      <c r="J154" s="833"/>
    </row>
    <row r="155" spans="1:10" s="40" customFormat="1">
      <c r="A155" s="868">
        <v>230</v>
      </c>
      <c r="B155" s="837">
        <v>300</v>
      </c>
      <c r="C155" s="837"/>
      <c r="D155" s="830"/>
      <c r="E155" s="830"/>
      <c r="F155" s="852"/>
      <c r="G155" s="869" t="s">
        <v>4635</v>
      </c>
      <c r="H155" s="753" t="s">
        <v>4187</v>
      </c>
      <c r="I155" s="833"/>
      <c r="J155" s="833"/>
    </row>
    <row r="156" spans="1:10" s="40" customFormat="1">
      <c r="A156" s="853">
        <v>240</v>
      </c>
      <c r="B156" s="854">
        <v>0</v>
      </c>
      <c r="C156" s="854">
        <v>0</v>
      </c>
      <c r="D156" s="854">
        <v>0</v>
      </c>
      <c r="E156" s="854">
        <v>0</v>
      </c>
      <c r="F156" s="855">
        <v>0</v>
      </c>
      <c r="G156" s="856" t="s">
        <v>4636</v>
      </c>
      <c r="H156" s="776"/>
      <c r="I156" s="848"/>
      <c r="J156" s="848"/>
    </row>
    <row r="157" spans="1:10" s="40" customFormat="1">
      <c r="A157" s="867">
        <v>240</v>
      </c>
      <c r="B157" s="837">
        <v>50</v>
      </c>
      <c r="C157" s="837"/>
      <c r="D157" s="837"/>
      <c r="E157" s="837"/>
      <c r="F157" s="838"/>
      <c r="G157" s="794" t="s">
        <v>4637</v>
      </c>
      <c r="H157" s="753" t="s">
        <v>4191</v>
      </c>
      <c r="I157" s="833"/>
      <c r="J157" s="833"/>
    </row>
    <row r="158" spans="1:10" s="747" customFormat="1">
      <c r="A158" s="867">
        <v>240</v>
      </c>
      <c r="B158" s="834">
        <v>100</v>
      </c>
      <c r="C158" s="870"/>
      <c r="D158" s="834"/>
      <c r="E158" s="834"/>
      <c r="F158" s="835"/>
      <c r="G158" s="836" t="s">
        <v>4638</v>
      </c>
      <c r="H158" s="753" t="s">
        <v>4193</v>
      </c>
      <c r="I158" s="789"/>
      <c r="J158" s="789"/>
    </row>
    <row r="159" spans="1:10" s="40" customFormat="1">
      <c r="A159" s="867">
        <v>240</v>
      </c>
      <c r="B159" s="834">
        <v>100</v>
      </c>
      <c r="C159" s="871">
        <v>100</v>
      </c>
      <c r="D159" s="837"/>
      <c r="E159" s="837"/>
      <c r="F159" s="838"/>
      <c r="G159" s="794" t="s">
        <v>4639</v>
      </c>
      <c r="H159" s="753" t="s">
        <v>4195</v>
      </c>
      <c r="I159" s="833"/>
      <c r="J159" s="833"/>
    </row>
    <row r="160" spans="1:10" s="40" customFormat="1">
      <c r="A160" s="867">
        <v>240</v>
      </c>
      <c r="B160" s="834">
        <v>100</v>
      </c>
      <c r="C160" s="871">
        <v>200</v>
      </c>
      <c r="D160" s="837"/>
      <c r="E160" s="837"/>
      <c r="F160" s="838"/>
      <c r="G160" s="794" t="s">
        <v>4640</v>
      </c>
      <c r="H160" s="753" t="s">
        <v>4197</v>
      </c>
      <c r="I160" s="833"/>
      <c r="J160" s="833"/>
    </row>
    <row r="161" spans="1:10" s="40" customFormat="1">
      <c r="A161" s="867">
        <v>240</v>
      </c>
      <c r="B161" s="834">
        <v>100</v>
      </c>
      <c r="C161" s="871">
        <v>300</v>
      </c>
      <c r="D161" s="837"/>
      <c r="E161" s="837"/>
      <c r="F161" s="838"/>
      <c r="G161" s="794" t="s">
        <v>4641</v>
      </c>
      <c r="H161" s="753" t="s">
        <v>4199</v>
      </c>
      <c r="I161" s="833"/>
      <c r="J161" s="833"/>
    </row>
    <row r="162" spans="1:10" s="40" customFormat="1">
      <c r="A162" s="867">
        <v>240</v>
      </c>
      <c r="B162" s="834">
        <v>100</v>
      </c>
      <c r="C162" s="871">
        <v>400</v>
      </c>
      <c r="D162" s="837"/>
      <c r="E162" s="837"/>
      <c r="F162" s="838"/>
      <c r="G162" s="794" t="s">
        <v>4642</v>
      </c>
      <c r="H162" s="753" t="s">
        <v>4201</v>
      </c>
      <c r="I162" s="833"/>
      <c r="J162" s="833"/>
    </row>
    <row r="163" spans="1:10" s="40" customFormat="1">
      <c r="A163" s="867">
        <v>240</v>
      </c>
      <c r="B163" s="834">
        <v>100</v>
      </c>
      <c r="C163" s="870">
        <v>500</v>
      </c>
      <c r="D163" s="834"/>
      <c r="E163" s="834"/>
      <c r="F163" s="835"/>
      <c r="G163" s="836" t="s">
        <v>4643</v>
      </c>
      <c r="H163" s="753" t="s">
        <v>4203</v>
      </c>
      <c r="I163" s="789"/>
      <c r="J163" s="789"/>
    </row>
    <row r="164" spans="1:10" s="40" customFormat="1">
      <c r="A164" s="867">
        <v>240</v>
      </c>
      <c r="B164" s="834">
        <v>100</v>
      </c>
      <c r="C164" s="870">
        <v>500</v>
      </c>
      <c r="D164" s="837">
        <v>100</v>
      </c>
      <c r="E164" s="837"/>
      <c r="F164" s="838"/>
      <c r="G164" s="839" t="s">
        <v>4644</v>
      </c>
      <c r="H164" s="753"/>
      <c r="I164" s="833"/>
      <c r="J164" s="833"/>
    </row>
    <row r="165" spans="1:10" s="40" customFormat="1">
      <c r="A165" s="867">
        <v>240</v>
      </c>
      <c r="B165" s="834">
        <v>100</v>
      </c>
      <c r="C165" s="870">
        <v>500</v>
      </c>
      <c r="D165" s="837">
        <v>200</v>
      </c>
      <c r="E165" s="837"/>
      <c r="F165" s="838"/>
      <c r="G165" s="839" t="s">
        <v>4643</v>
      </c>
      <c r="H165" s="753"/>
      <c r="I165" s="833"/>
      <c r="J165" s="833"/>
    </row>
    <row r="166" spans="1:10" s="40" customFormat="1">
      <c r="A166" s="867">
        <v>240</v>
      </c>
      <c r="B166" s="834">
        <v>100</v>
      </c>
      <c r="C166" s="870">
        <v>500</v>
      </c>
      <c r="D166" s="837">
        <v>800</v>
      </c>
      <c r="E166" s="837"/>
      <c r="F166" s="838"/>
      <c r="G166" s="839" t="s">
        <v>4645</v>
      </c>
      <c r="H166" s="753"/>
      <c r="I166" s="833"/>
      <c r="J166" s="833"/>
    </row>
    <row r="167" spans="1:10" s="40" customFormat="1">
      <c r="A167" s="867">
        <v>240</v>
      </c>
      <c r="B167" s="834">
        <v>100</v>
      </c>
      <c r="C167" s="870">
        <v>500</v>
      </c>
      <c r="D167" s="837">
        <v>900</v>
      </c>
      <c r="E167" s="837"/>
      <c r="F167" s="838"/>
      <c r="G167" s="839" t="s">
        <v>4646</v>
      </c>
      <c r="H167" s="753"/>
      <c r="I167" s="833"/>
      <c r="J167" s="833"/>
    </row>
    <row r="168" spans="1:10" s="40" customFormat="1">
      <c r="A168" s="867">
        <v>240</v>
      </c>
      <c r="B168" s="834">
        <v>150</v>
      </c>
      <c r="C168" s="870"/>
      <c r="D168" s="834"/>
      <c r="E168" s="834"/>
      <c r="F168" s="835"/>
      <c r="G168" s="836" t="s">
        <v>4647</v>
      </c>
      <c r="H168" s="753"/>
      <c r="I168" s="789"/>
      <c r="J168" s="789"/>
    </row>
    <row r="169" spans="1:10" s="40" customFormat="1">
      <c r="A169" s="867">
        <v>240</v>
      </c>
      <c r="B169" s="834">
        <v>150</v>
      </c>
      <c r="C169" s="871">
        <v>100</v>
      </c>
      <c r="D169" s="837"/>
      <c r="E169" s="837"/>
      <c r="F169" s="838"/>
      <c r="G169" s="794" t="s">
        <v>4648</v>
      </c>
      <c r="H169" s="753" t="s">
        <v>4207</v>
      </c>
      <c r="I169" s="833"/>
      <c r="J169" s="833"/>
    </row>
    <row r="170" spans="1:10" s="40" customFormat="1">
      <c r="A170" s="867">
        <v>240</v>
      </c>
      <c r="B170" s="834">
        <v>150</v>
      </c>
      <c r="C170" s="871">
        <v>150</v>
      </c>
      <c r="D170" s="837"/>
      <c r="E170" s="837"/>
      <c r="F170" s="838"/>
      <c r="G170" s="794" t="s">
        <v>4649</v>
      </c>
      <c r="H170" s="753" t="s">
        <v>4209</v>
      </c>
      <c r="I170" s="833"/>
      <c r="J170" s="833">
        <v>15626</v>
      </c>
    </row>
    <row r="171" spans="1:10" s="40" customFormat="1" ht="25.5">
      <c r="A171" s="867">
        <v>240</v>
      </c>
      <c r="B171" s="834">
        <v>150</v>
      </c>
      <c r="C171" s="871">
        <v>200</v>
      </c>
      <c r="D171" s="837"/>
      <c r="E171" s="837"/>
      <c r="F171" s="838"/>
      <c r="G171" s="794" t="s">
        <v>4650</v>
      </c>
      <c r="H171" s="753" t="s">
        <v>4211</v>
      </c>
      <c r="I171" s="833"/>
      <c r="J171" s="833"/>
    </row>
    <row r="172" spans="1:10" s="40" customFormat="1" ht="25.5">
      <c r="A172" s="867">
        <v>240</v>
      </c>
      <c r="B172" s="834">
        <v>150</v>
      </c>
      <c r="C172" s="871">
        <v>300</v>
      </c>
      <c r="D172" s="837"/>
      <c r="E172" s="837"/>
      <c r="F172" s="838"/>
      <c r="G172" s="794" t="s">
        <v>4651</v>
      </c>
      <c r="H172" s="753" t="s">
        <v>4213</v>
      </c>
      <c r="I172" s="833"/>
      <c r="J172" s="833"/>
    </row>
    <row r="173" spans="1:10" s="40" customFormat="1" ht="25.5">
      <c r="A173" s="867">
        <v>240</v>
      </c>
      <c r="B173" s="834">
        <v>150</v>
      </c>
      <c r="C173" s="871">
        <v>350</v>
      </c>
      <c r="D173" s="837"/>
      <c r="E173" s="837"/>
      <c r="F173" s="838"/>
      <c r="G173" s="794" t="s">
        <v>4652</v>
      </c>
      <c r="H173" s="753" t="s">
        <v>4215</v>
      </c>
      <c r="I173" s="833"/>
      <c r="J173" s="833"/>
    </row>
    <row r="174" spans="1:10" s="40" customFormat="1">
      <c r="A174" s="867">
        <v>240</v>
      </c>
      <c r="B174" s="834">
        <v>150</v>
      </c>
      <c r="C174" s="871">
        <v>400</v>
      </c>
      <c r="D174" s="837"/>
      <c r="E174" s="837"/>
      <c r="F174" s="838"/>
      <c r="G174" s="794" t="s">
        <v>4653</v>
      </c>
      <c r="H174" s="753" t="s">
        <v>4217</v>
      </c>
      <c r="I174" s="833"/>
      <c r="J174" s="833"/>
    </row>
    <row r="175" spans="1:10" s="40" customFormat="1" ht="33" customHeight="1">
      <c r="A175" s="867">
        <v>240</v>
      </c>
      <c r="B175" s="834">
        <v>150</v>
      </c>
      <c r="C175" s="871">
        <v>410</v>
      </c>
      <c r="D175" s="837"/>
      <c r="E175" s="837"/>
      <c r="F175" s="838"/>
      <c r="G175" s="794" t="s">
        <v>4654</v>
      </c>
      <c r="H175" s="753" t="s">
        <v>4219</v>
      </c>
      <c r="I175" s="833"/>
      <c r="J175" s="833"/>
    </row>
    <row r="176" spans="1:10" s="40" customFormat="1">
      <c r="A176" s="867">
        <v>240</v>
      </c>
      <c r="B176" s="834">
        <v>150</v>
      </c>
      <c r="C176" s="871">
        <v>420</v>
      </c>
      <c r="D176" s="837"/>
      <c r="E176" s="837"/>
      <c r="F176" s="838"/>
      <c r="G176" s="794" t="s">
        <v>4655</v>
      </c>
      <c r="H176" s="753" t="s">
        <v>4221</v>
      </c>
      <c r="I176" s="833"/>
      <c r="J176" s="833"/>
    </row>
    <row r="177" spans="1:10" s="40" customFormat="1">
      <c r="A177" s="867">
        <v>240</v>
      </c>
      <c r="B177" s="834">
        <v>150</v>
      </c>
      <c r="C177" s="871">
        <v>430</v>
      </c>
      <c r="D177" s="837"/>
      <c r="E177" s="837"/>
      <c r="F177" s="838"/>
      <c r="G177" s="794" t="s">
        <v>4656</v>
      </c>
      <c r="H177" s="753" t="s">
        <v>4223</v>
      </c>
      <c r="I177" s="833"/>
      <c r="J177" s="833"/>
    </row>
    <row r="178" spans="1:10" s="40" customFormat="1">
      <c r="A178" s="867">
        <v>240</v>
      </c>
      <c r="B178" s="834">
        <v>150</v>
      </c>
      <c r="C178" s="870">
        <v>500</v>
      </c>
      <c r="D178" s="834"/>
      <c r="E178" s="834"/>
      <c r="F178" s="835"/>
      <c r="G178" s="794" t="s">
        <v>4657</v>
      </c>
      <c r="H178" s="753" t="s">
        <v>4225</v>
      </c>
      <c r="I178" s="789"/>
      <c r="J178" s="789"/>
    </row>
    <row r="179" spans="1:10" s="40" customFormat="1">
      <c r="A179" s="867">
        <v>240</v>
      </c>
      <c r="B179" s="834">
        <v>150</v>
      </c>
      <c r="C179" s="870">
        <v>500</v>
      </c>
      <c r="D179" s="837">
        <v>100</v>
      </c>
      <c r="E179" s="837"/>
      <c r="F179" s="838"/>
      <c r="G179" s="839" t="s">
        <v>4658</v>
      </c>
      <c r="H179" s="753"/>
      <c r="I179" s="833"/>
      <c r="J179" s="833"/>
    </row>
    <row r="180" spans="1:10" s="40" customFormat="1" ht="25.5">
      <c r="A180" s="867">
        <v>240</v>
      </c>
      <c r="B180" s="834">
        <v>150</v>
      </c>
      <c r="C180" s="870">
        <v>500</v>
      </c>
      <c r="D180" s="837">
        <v>200</v>
      </c>
      <c r="E180" s="837"/>
      <c r="F180" s="838"/>
      <c r="G180" s="839" t="s">
        <v>4659</v>
      </c>
      <c r="H180" s="753"/>
      <c r="I180" s="833"/>
      <c r="J180" s="833"/>
    </row>
    <row r="181" spans="1:10" s="40" customFormat="1">
      <c r="A181" s="867">
        <v>240</v>
      </c>
      <c r="B181" s="834">
        <v>150</v>
      </c>
      <c r="C181" s="870">
        <v>500</v>
      </c>
      <c r="D181" s="837">
        <v>300</v>
      </c>
      <c r="E181" s="837"/>
      <c r="F181" s="838"/>
      <c r="G181" s="839" t="s">
        <v>4657</v>
      </c>
      <c r="H181" s="753"/>
      <c r="I181" s="833">
        <v>56845.45</v>
      </c>
      <c r="J181" s="833"/>
    </row>
    <row r="182" spans="1:10" s="40" customFormat="1">
      <c r="A182" s="867">
        <v>240</v>
      </c>
      <c r="B182" s="834">
        <v>150</v>
      </c>
      <c r="C182" s="870">
        <v>500</v>
      </c>
      <c r="D182" s="837">
        <v>800</v>
      </c>
      <c r="E182" s="837"/>
      <c r="F182" s="838"/>
      <c r="G182" s="839" t="s">
        <v>4660</v>
      </c>
      <c r="H182" s="753"/>
      <c r="I182" s="833"/>
      <c r="J182" s="833"/>
    </row>
    <row r="183" spans="1:10" s="40" customFormat="1">
      <c r="A183" s="867">
        <v>240</v>
      </c>
      <c r="B183" s="834">
        <v>150</v>
      </c>
      <c r="C183" s="870">
        <v>500</v>
      </c>
      <c r="D183" s="837">
        <v>900</v>
      </c>
      <c r="E183" s="837"/>
      <c r="F183" s="838"/>
      <c r="G183" s="839" t="s">
        <v>4645</v>
      </c>
      <c r="H183" s="753"/>
      <c r="I183" s="833"/>
      <c r="J183" s="833"/>
    </row>
    <row r="184" spans="1:10" s="40" customFormat="1">
      <c r="A184" s="867">
        <v>240</v>
      </c>
      <c r="B184" s="834">
        <v>200</v>
      </c>
      <c r="C184" s="834"/>
      <c r="D184" s="834"/>
      <c r="E184" s="834"/>
      <c r="F184" s="835"/>
      <c r="G184" s="836" t="s">
        <v>4661</v>
      </c>
      <c r="H184" s="753" t="s">
        <v>4227</v>
      </c>
      <c r="I184" s="789"/>
      <c r="J184" s="789"/>
    </row>
    <row r="185" spans="1:10" s="40" customFormat="1">
      <c r="A185" s="867">
        <v>240</v>
      </c>
      <c r="B185" s="834">
        <v>200</v>
      </c>
      <c r="C185" s="837">
        <v>100</v>
      </c>
      <c r="D185" s="837"/>
      <c r="E185" s="837"/>
      <c r="F185" s="838"/>
      <c r="G185" s="839" t="s">
        <v>4662</v>
      </c>
      <c r="H185" s="753"/>
      <c r="I185" s="833"/>
      <c r="J185" s="833"/>
    </row>
    <row r="186" spans="1:10" s="40" customFormat="1">
      <c r="A186" s="867">
        <v>240</v>
      </c>
      <c r="B186" s="834">
        <v>200</v>
      </c>
      <c r="C186" s="837">
        <v>200</v>
      </c>
      <c r="D186" s="837"/>
      <c r="E186" s="837"/>
      <c r="F186" s="838"/>
      <c r="G186" s="839" t="s">
        <v>4663</v>
      </c>
      <c r="H186" s="753"/>
      <c r="I186" s="833">
        <v>2749.87</v>
      </c>
      <c r="J186" s="833"/>
    </row>
    <row r="187" spans="1:10" s="40" customFormat="1">
      <c r="A187" s="867">
        <v>240</v>
      </c>
      <c r="B187" s="834">
        <v>200</v>
      </c>
      <c r="C187" s="837">
        <v>800</v>
      </c>
      <c r="D187" s="837"/>
      <c r="E187" s="837"/>
      <c r="F187" s="838"/>
      <c r="G187" s="839" t="s">
        <v>4660</v>
      </c>
      <c r="H187" s="753"/>
      <c r="I187" s="833"/>
      <c r="J187" s="833"/>
    </row>
    <row r="188" spans="1:10" s="40" customFormat="1">
      <c r="A188" s="867">
        <v>240</v>
      </c>
      <c r="B188" s="834">
        <v>200</v>
      </c>
      <c r="C188" s="837">
        <v>900</v>
      </c>
      <c r="D188" s="837"/>
      <c r="E188" s="837"/>
      <c r="F188" s="838"/>
      <c r="G188" s="839" t="s">
        <v>4645</v>
      </c>
      <c r="H188" s="753"/>
      <c r="I188" s="833"/>
      <c r="J188" s="833"/>
    </row>
    <row r="189" spans="1:10" s="40" customFormat="1">
      <c r="A189" s="867">
        <v>240</v>
      </c>
      <c r="B189" s="834">
        <v>250</v>
      </c>
      <c r="C189" s="834"/>
      <c r="D189" s="834"/>
      <c r="E189" s="834"/>
      <c r="F189" s="835"/>
      <c r="G189" s="836" t="s">
        <v>4664</v>
      </c>
      <c r="H189" s="753" t="s">
        <v>4229</v>
      </c>
      <c r="I189" s="789"/>
      <c r="J189" s="789"/>
    </row>
    <row r="190" spans="1:10" s="40" customFormat="1">
      <c r="A190" s="867">
        <v>240</v>
      </c>
      <c r="B190" s="834">
        <v>250</v>
      </c>
      <c r="C190" s="834">
        <v>100</v>
      </c>
      <c r="D190" s="834"/>
      <c r="E190" s="834"/>
      <c r="F190" s="835"/>
      <c r="G190" s="836" t="s">
        <v>4665</v>
      </c>
      <c r="H190" s="753" t="s">
        <v>4231</v>
      </c>
      <c r="I190" s="789"/>
      <c r="J190" s="789"/>
    </row>
    <row r="191" spans="1:10" s="40" customFormat="1">
      <c r="A191" s="867">
        <v>240</v>
      </c>
      <c r="B191" s="834">
        <v>250</v>
      </c>
      <c r="C191" s="834">
        <v>100</v>
      </c>
      <c r="D191" s="837">
        <v>100</v>
      </c>
      <c r="E191" s="837"/>
      <c r="F191" s="838"/>
      <c r="G191" s="794" t="s">
        <v>4666</v>
      </c>
      <c r="H191" s="753" t="s">
        <v>4233</v>
      </c>
      <c r="I191" s="833"/>
      <c r="J191" s="833"/>
    </row>
    <row r="192" spans="1:10" s="40" customFormat="1" ht="25.5">
      <c r="A192" s="867">
        <v>240</v>
      </c>
      <c r="B192" s="834">
        <v>250</v>
      </c>
      <c r="C192" s="834">
        <v>100</v>
      </c>
      <c r="D192" s="837">
        <v>200</v>
      </c>
      <c r="E192" s="837"/>
      <c r="F192" s="838"/>
      <c r="G192" s="794" t="s">
        <v>4667</v>
      </c>
      <c r="H192" s="753" t="s">
        <v>4235</v>
      </c>
      <c r="I192" s="833"/>
      <c r="J192" s="833"/>
    </row>
    <row r="193" spans="1:10" s="40" customFormat="1" ht="25.5">
      <c r="A193" s="867">
        <v>240</v>
      </c>
      <c r="B193" s="834">
        <v>250</v>
      </c>
      <c r="C193" s="834">
        <v>100</v>
      </c>
      <c r="D193" s="837">
        <v>300</v>
      </c>
      <c r="E193" s="837"/>
      <c r="F193" s="838"/>
      <c r="G193" s="794" t="s">
        <v>4668</v>
      </c>
      <c r="H193" s="753" t="s">
        <v>4237</v>
      </c>
      <c r="I193" s="833"/>
      <c r="J193" s="833"/>
    </row>
    <row r="194" spans="1:10" s="40" customFormat="1" ht="25.5">
      <c r="A194" s="867">
        <v>240</v>
      </c>
      <c r="B194" s="834">
        <v>250</v>
      </c>
      <c r="C194" s="834">
        <v>100</v>
      </c>
      <c r="D194" s="837">
        <v>400</v>
      </c>
      <c r="E194" s="837"/>
      <c r="F194" s="838"/>
      <c r="G194" s="794" t="s">
        <v>4669</v>
      </c>
      <c r="H194" s="753" t="s">
        <v>4239</v>
      </c>
      <c r="I194" s="833"/>
      <c r="J194" s="833">
        <v>183223</v>
      </c>
    </row>
    <row r="195" spans="1:10" s="40" customFormat="1" ht="25.5">
      <c r="A195" s="867">
        <v>240</v>
      </c>
      <c r="B195" s="834">
        <v>250</v>
      </c>
      <c r="C195" s="834">
        <v>100</v>
      </c>
      <c r="D195" s="834">
        <v>500</v>
      </c>
      <c r="E195" s="834"/>
      <c r="F195" s="835"/>
      <c r="G195" s="836" t="s">
        <v>4670</v>
      </c>
      <c r="H195" s="753" t="s">
        <v>4241</v>
      </c>
      <c r="I195" s="789"/>
      <c r="J195" s="789"/>
    </row>
    <row r="196" spans="1:10" s="40" customFormat="1" ht="25.5">
      <c r="A196" s="867">
        <v>240</v>
      </c>
      <c r="B196" s="834">
        <v>250</v>
      </c>
      <c r="C196" s="834">
        <v>100</v>
      </c>
      <c r="D196" s="834">
        <v>500</v>
      </c>
      <c r="E196" s="837">
        <v>10</v>
      </c>
      <c r="F196" s="838"/>
      <c r="G196" s="839" t="s">
        <v>4670</v>
      </c>
      <c r="H196" s="753"/>
      <c r="I196" s="833">
        <v>1291784.93</v>
      </c>
      <c r="J196" s="833">
        <v>3343306</v>
      </c>
    </row>
    <row r="197" spans="1:10" s="40" customFormat="1">
      <c r="A197" s="867">
        <v>240</v>
      </c>
      <c r="B197" s="834">
        <v>250</v>
      </c>
      <c r="C197" s="834">
        <v>100</v>
      </c>
      <c r="D197" s="834">
        <v>500</v>
      </c>
      <c r="E197" s="837">
        <v>80</v>
      </c>
      <c r="F197" s="838"/>
      <c r="G197" s="839" t="s">
        <v>4660</v>
      </c>
      <c r="H197" s="753"/>
      <c r="I197" s="833">
        <v>202079.05</v>
      </c>
      <c r="J197" s="833">
        <v>245919</v>
      </c>
    </row>
    <row r="198" spans="1:10" s="40" customFormat="1">
      <c r="A198" s="867">
        <v>240</v>
      </c>
      <c r="B198" s="834">
        <v>250</v>
      </c>
      <c r="C198" s="834">
        <v>100</v>
      </c>
      <c r="D198" s="834">
        <v>500</v>
      </c>
      <c r="E198" s="837">
        <v>90</v>
      </c>
      <c r="F198" s="838"/>
      <c r="G198" s="839" t="s">
        <v>4645</v>
      </c>
      <c r="H198" s="753"/>
      <c r="I198" s="833"/>
      <c r="J198" s="833"/>
    </row>
    <row r="199" spans="1:10" s="40" customFormat="1">
      <c r="A199" s="867">
        <v>240</v>
      </c>
      <c r="B199" s="834">
        <v>250</v>
      </c>
      <c r="C199" s="834">
        <v>100</v>
      </c>
      <c r="D199" s="834">
        <v>600</v>
      </c>
      <c r="E199" s="834"/>
      <c r="F199" s="835"/>
      <c r="G199" s="836" t="s">
        <v>4671</v>
      </c>
      <c r="H199" s="753" t="s">
        <v>4243</v>
      </c>
      <c r="I199" s="789"/>
      <c r="J199" s="789"/>
    </row>
    <row r="200" spans="1:10" s="40" customFormat="1">
      <c r="A200" s="867">
        <v>240</v>
      </c>
      <c r="B200" s="834">
        <v>250</v>
      </c>
      <c r="C200" s="834">
        <v>100</v>
      </c>
      <c r="D200" s="834">
        <v>600</v>
      </c>
      <c r="E200" s="837">
        <v>10</v>
      </c>
      <c r="F200" s="838"/>
      <c r="G200" s="839" t="s">
        <v>4672</v>
      </c>
      <c r="H200" s="753"/>
      <c r="I200" s="833">
        <v>1342108.7</v>
      </c>
      <c r="J200" s="833">
        <v>5500659</v>
      </c>
    </row>
    <row r="201" spans="1:10" s="40" customFormat="1">
      <c r="A201" s="867">
        <v>240</v>
      </c>
      <c r="B201" s="834">
        <v>250</v>
      </c>
      <c r="C201" s="834">
        <v>100</v>
      </c>
      <c r="D201" s="834">
        <v>600</v>
      </c>
      <c r="E201" s="837">
        <v>80</v>
      </c>
      <c r="F201" s="838"/>
      <c r="G201" s="839" t="s">
        <v>4660</v>
      </c>
      <c r="H201" s="753"/>
      <c r="I201" s="833">
        <v>-12213.92</v>
      </c>
      <c r="J201" s="833">
        <v>-5981</v>
      </c>
    </row>
    <row r="202" spans="1:10" s="40" customFormat="1">
      <c r="A202" s="867">
        <v>240</v>
      </c>
      <c r="B202" s="834">
        <v>250</v>
      </c>
      <c r="C202" s="834">
        <v>100</v>
      </c>
      <c r="D202" s="834">
        <v>600</v>
      </c>
      <c r="E202" s="837">
        <v>90</v>
      </c>
      <c r="F202" s="838"/>
      <c r="G202" s="839" t="s">
        <v>4645</v>
      </c>
      <c r="H202" s="753"/>
      <c r="I202" s="833"/>
      <c r="J202" s="833"/>
    </row>
    <row r="203" spans="1:10" s="40" customFormat="1" ht="25.5">
      <c r="A203" s="867">
        <v>240</v>
      </c>
      <c r="B203" s="834">
        <v>250</v>
      </c>
      <c r="C203" s="834">
        <v>100</v>
      </c>
      <c r="D203" s="834">
        <v>700</v>
      </c>
      <c r="E203" s="837"/>
      <c r="F203" s="838"/>
      <c r="G203" s="839" t="s">
        <v>4673</v>
      </c>
      <c r="H203" s="753" t="s">
        <v>4245</v>
      </c>
      <c r="I203" s="833"/>
      <c r="J203" s="833"/>
    </row>
    <row r="204" spans="1:10" s="40" customFormat="1" ht="25.5">
      <c r="A204" s="867">
        <v>240</v>
      </c>
      <c r="B204" s="834">
        <v>250</v>
      </c>
      <c r="C204" s="834">
        <v>100</v>
      </c>
      <c r="D204" s="834">
        <v>800</v>
      </c>
      <c r="E204" s="837"/>
      <c r="F204" s="838"/>
      <c r="G204" s="839" t="s">
        <v>4674</v>
      </c>
      <c r="H204" s="753" t="s">
        <v>4247</v>
      </c>
      <c r="I204" s="833"/>
      <c r="J204" s="833"/>
    </row>
    <row r="205" spans="1:10" s="40" customFormat="1" ht="25.5">
      <c r="A205" s="867">
        <v>240</v>
      </c>
      <c r="B205" s="834">
        <v>250</v>
      </c>
      <c r="C205" s="834">
        <v>100</v>
      </c>
      <c r="D205" s="834">
        <v>900</v>
      </c>
      <c r="E205" s="837"/>
      <c r="F205" s="838"/>
      <c r="G205" s="839" t="s">
        <v>4675</v>
      </c>
      <c r="H205" s="753" t="s">
        <v>4249</v>
      </c>
      <c r="I205" s="833"/>
      <c r="J205" s="833"/>
    </row>
    <row r="206" spans="1:10" s="40" customFormat="1">
      <c r="A206" s="867">
        <v>240</v>
      </c>
      <c r="B206" s="834">
        <v>250</v>
      </c>
      <c r="C206" s="834">
        <v>200</v>
      </c>
      <c r="D206" s="834"/>
      <c r="E206" s="834"/>
      <c r="F206" s="835"/>
      <c r="G206" s="836" t="s">
        <v>4676</v>
      </c>
      <c r="H206" s="753" t="s">
        <v>4251</v>
      </c>
      <c r="I206" s="789"/>
      <c r="J206" s="789"/>
    </row>
    <row r="207" spans="1:10" s="40" customFormat="1">
      <c r="A207" s="867">
        <v>240</v>
      </c>
      <c r="B207" s="834">
        <v>250</v>
      </c>
      <c r="C207" s="834">
        <v>200</v>
      </c>
      <c r="D207" s="837">
        <v>100</v>
      </c>
      <c r="E207" s="837"/>
      <c r="F207" s="838"/>
      <c r="G207" s="839" t="s">
        <v>4677</v>
      </c>
      <c r="H207" s="753"/>
      <c r="I207" s="833">
        <v>77981.78</v>
      </c>
      <c r="J207" s="833">
        <v>121088</v>
      </c>
    </row>
    <row r="208" spans="1:10" s="40" customFormat="1">
      <c r="A208" s="867">
        <v>240</v>
      </c>
      <c r="B208" s="834">
        <v>250</v>
      </c>
      <c r="C208" s="834">
        <v>200</v>
      </c>
      <c r="D208" s="837">
        <v>800</v>
      </c>
      <c r="E208" s="837"/>
      <c r="F208" s="838"/>
      <c r="G208" s="839" t="s">
        <v>4660</v>
      </c>
      <c r="H208" s="753"/>
      <c r="I208" s="833">
        <v>61324.51</v>
      </c>
      <c r="J208" s="833">
        <v>28909</v>
      </c>
    </row>
    <row r="209" spans="1:10" s="40" customFormat="1">
      <c r="A209" s="867">
        <v>240</v>
      </c>
      <c r="B209" s="834">
        <v>250</v>
      </c>
      <c r="C209" s="834">
        <v>200</v>
      </c>
      <c r="D209" s="837">
        <v>900</v>
      </c>
      <c r="E209" s="837"/>
      <c r="F209" s="838"/>
      <c r="G209" s="839" t="s">
        <v>4645</v>
      </c>
      <c r="H209" s="753"/>
      <c r="I209" s="833">
        <v>928.95</v>
      </c>
      <c r="J209" s="833">
        <v>-8</v>
      </c>
    </row>
    <row r="210" spans="1:10" s="40" customFormat="1" ht="25.5">
      <c r="A210" s="867">
        <v>240</v>
      </c>
      <c r="B210" s="834">
        <v>250</v>
      </c>
      <c r="C210" s="834">
        <v>300</v>
      </c>
      <c r="D210" s="834"/>
      <c r="E210" s="834"/>
      <c r="F210" s="835"/>
      <c r="G210" s="836" t="s">
        <v>4678</v>
      </c>
      <c r="H210" s="753" t="s">
        <v>4253</v>
      </c>
      <c r="I210" s="789"/>
      <c r="J210" s="789"/>
    </row>
    <row r="211" spans="1:10" s="40" customFormat="1" ht="25.5">
      <c r="A211" s="867">
        <v>240</v>
      </c>
      <c r="B211" s="834">
        <v>250</v>
      </c>
      <c r="C211" s="834">
        <v>300</v>
      </c>
      <c r="D211" s="837">
        <v>100</v>
      </c>
      <c r="E211" s="837"/>
      <c r="F211" s="838"/>
      <c r="G211" s="839" t="s">
        <v>4679</v>
      </c>
      <c r="H211" s="753" t="s">
        <v>4255</v>
      </c>
      <c r="I211" s="833"/>
      <c r="J211" s="833"/>
    </row>
    <row r="212" spans="1:10" s="40" customFormat="1" ht="25.5">
      <c r="A212" s="867">
        <v>240</v>
      </c>
      <c r="B212" s="834">
        <v>250</v>
      </c>
      <c r="C212" s="834">
        <v>300</v>
      </c>
      <c r="D212" s="837">
        <v>200</v>
      </c>
      <c r="E212" s="837"/>
      <c r="F212" s="838"/>
      <c r="G212" s="839" t="s">
        <v>4680</v>
      </c>
      <c r="H212" s="753" t="s">
        <v>4257</v>
      </c>
      <c r="I212" s="833"/>
      <c r="J212" s="833"/>
    </row>
    <row r="213" spans="1:10" s="40" customFormat="1" ht="25.5">
      <c r="A213" s="867">
        <v>240</v>
      </c>
      <c r="B213" s="834">
        <v>250</v>
      </c>
      <c r="C213" s="834">
        <v>300</v>
      </c>
      <c r="D213" s="837">
        <v>300</v>
      </c>
      <c r="E213" s="837"/>
      <c r="F213" s="838"/>
      <c r="G213" s="839" t="s">
        <v>4681</v>
      </c>
      <c r="H213" s="753" t="s">
        <v>4259</v>
      </c>
      <c r="I213" s="833"/>
      <c r="J213" s="833"/>
    </row>
    <row r="214" spans="1:10" s="40" customFormat="1" ht="38.25">
      <c r="A214" s="867">
        <v>240</v>
      </c>
      <c r="B214" s="834">
        <v>250</v>
      </c>
      <c r="C214" s="834">
        <v>300</v>
      </c>
      <c r="D214" s="837">
        <v>400</v>
      </c>
      <c r="E214" s="837"/>
      <c r="F214" s="838"/>
      <c r="G214" s="839" t="s">
        <v>4682</v>
      </c>
      <c r="H214" s="753" t="s">
        <v>4261</v>
      </c>
      <c r="I214" s="833"/>
      <c r="J214" s="833"/>
    </row>
    <row r="215" spans="1:10" s="40" customFormat="1" ht="25.5">
      <c r="A215" s="867">
        <v>240</v>
      </c>
      <c r="B215" s="834">
        <v>250</v>
      </c>
      <c r="C215" s="834">
        <v>300</v>
      </c>
      <c r="D215" s="837">
        <v>500</v>
      </c>
      <c r="E215" s="837"/>
      <c r="F215" s="838"/>
      <c r="G215" s="839" t="s">
        <v>4683</v>
      </c>
      <c r="H215" s="753" t="s">
        <v>4263</v>
      </c>
      <c r="I215" s="833"/>
      <c r="J215" s="833"/>
    </row>
    <row r="216" spans="1:10" s="40" customFormat="1">
      <c r="A216" s="867">
        <v>240</v>
      </c>
      <c r="B216" s="834">
        <v>300</v>
      </c>
      <c r="C216" s="834"/>
      <c r="D216" s="834"/>
      <c r="E216" s="834"/>
      <c r="F216" s="835"/>
      <c r="G216" s="836" t="s">
        <v>4684</v>
      </c>
      <c r="H216" s="753"/>
      <c r="I216" s="789"/>
      <c r="J216" s="789"/>
    </row>
    <row r="217" spans="1:10" s="40" customFormat="1">
      <c r="A217" s="867">
        <v>240</v>
      </c>
      <c r="B217" s="834">
        <v>300</v>
      </c>
      <c r="C217" s="837">
        <v>100</v>
      </c>
      <c r="D217" s="837"/>
      <c r="E217" s="837"/>
      <c r="F217" s="838"/>
      <c r="G217" s="794" t="s">
        <v>4685</v>
      </c>
      <c r="H217" s="753" t="s">
        <v>4267</v>
      </c>
      <c r="I217" s="833"/>
      <c r="J217" s="833"/>
    </row>
    <row r="218" spans="1:10" s="40" customFormat="1">
      <c r="A218" s="867">
        <v>240</v>
      </c>
      <c r="B218" s="834">
        <v>300</v>
      </c>
      <c r="C218" s="837">
        <v>200</v>
      </c>
      <c r="D218" s="837"/>
      <c r="E218" s="837"/>
      <c r="F218" s="838"/>
      <c r="G218" s="794" t="s">
        <v>4686</v>
      </c>
      <c r="H218" s="753" t="s">
        <v>4269</v>
      </c>
      <c r="I218" s="833"/>
      <c r="J218" s="833"/>
    </row>
    <row r="219" spans="1:10" s="40" customFormat="1">
      <c r="A219" s="867">
        <v>240</v>
      </c>
      <c r="B219" s="834">
        <v>300</v>
      </c>
      <c r="C219" s="834">
        <v>300</v>
      </c>
      <c r="D219" s="834"/>
      <c r="E219" s="834"/>
      <c r="F219" s="835"/>
      <c r="G219" s="836" t="s">
        <v>4687</v>
      </c>
      <c r="H219" s="753" t="s">
        <v>4271</v>
      </c>
      <c r="I219" s="789"/>
      <c r="J219" s="789"/>
    </row>
    <row r="220" spans="1:10" s="40" customFormat="1">
      <c r="A220" s="867">
        <v>240</v>
      </c>
      <c r="B220" s="834">
        <v>300</v>
      </c>
      <c r="C220" s="834">
        <v>300</v>
      </c>
      <c r="D220" s="837">
        <v>100</v>
      </c>
      <c r="E220" s="837"/>
      <c r="F220" s="838"/>
      <c r="G220" s="839" t="s">
        <v>4687</v>
      </c>
      <c r="H220" s="753"/>
      <c r="I220" s="833"/>
      <c r="J220" s="833"/>
    </row>
    <row r="221" spans="1:10" s="40" customFormat="1">
      <c r="A221" s="867">
        <v>240</v>
      </c>
      <c r="B221" s="834">
        <v>300</v>
      </c>
      <c r="C221" s="834">
        <v>300</v>
      </c>
      <c r="D221" s="837">
        <v>800</v>
      </c>
      <c r="E221" s="837"/>
      <c r="F221" s="838"/>
      <c r="G221" s="839" t="s">
        <v>4660</v>
      </c>
      <c r="H221" s="753"/>
      <c r="I221" s="833">
        <v>77.13</v>
      </c>
      <c r="J221" s="833">
        <v>77</v>
      </c>
    </row>
    <row r="222" spans="1:10" s="40" customFormat="1">
      <c r="A222" s="867">
        <v>240</v>
      </c>
      <c r="B222" s="834">
        <v>300</v>
      </c>
      <c r="C222" s="834">
        <v>300</v>
      </c>
      <c r="D222" s="837">
        <v>900</v>
      </c>
      <c r="E222" s="837"/>
      <c r="F222" s="838"/>
      <c r="G222" s="839" t="s">
        <v>4645</v>
      </c>
      <c r="H222" s="753"/>
      <c r="I222" s="833"/>
      <c r="J222" s="833"/>
    </row>
    <row r="223" spans="1:10" s="40" customFormat="1">
      <c r="A223" s="867">
        <v>240</v>
      </c>
      <c r="B223" s="834">
        <v>350</v>
      </c>
      <c r="C223" s="834"/>
      <c r="D223" s="834"/>
      <c r="E223" s="834"/>
      <c r="F223" s="835"/>
      <c r="G223" s="836" t="s">
        <v>4688</v>
      </c>
      <c r="H223" s="753"/>
      <c r="I223" s="789"/>
      <c r="J223" s="789"/>
    </row>
    <row r="224" spans="1:10" s="40" customFormat="1">
      <c r="A224" s="867">
        <v>240</v>
      </c>
      <c r="B224" s="834">
        <v>350</v>
      </c>
      <c r="C224" s="834">
        <v>100</v>
      </c>
      <c r="D224" s="834"/>
      <c r="E224" s="834"/>
      <c r="F224" s="835"/>
      <c r="G224" s="836" t="s">
        <v>4689</v>
      </c>
      <c r="H224" s="753" t="s">
        <v>4275</v>
      </c>
      <c r="I224" s="789"/>
      <c r="J224" s="789"/>
    </row>
    <row r="225" spans="1:10" s="40" customFormat="1" ht="25.5">
      <c r="A225" s="867"/>
      <c r="B225" s="834"/>
      <c r="C225" s="834"/>
      <c r="D225" s="837"/>
      <c r="E225" s="837"/>
      <c r="F225" s="838"/>
      <c r="G225" s="839" t="s">
        <v>4689</v>
      </c>
      <c r="H225" s="753" t="s">
        <v>4277</v>
      </c>
      <c r="I225" s="789"/>
      <c r="J225" s="789"/>
    </row>
    <row r="226" spans="1:10" s="40" customFormat="1" ht="25.5">
      <c r="A226" s="867">
        <v>240</v>
      </c>
      <c r="B226" s="834">
        <v>350</v>
      </c>
      <c r="C226" s="834">
        <v>100</v>
      </c>
      <c r="D226" s="837">
        <v>100</v>
      </c>
      <c r="E226" s="837"/>
      <c r="F226" s="838"/>
      <c r="G226" s="839" t="s">
        <v>4689</v>
      </c>
      <c r="H226" s="753" t="s">
        <v>4277</v>
      </c>
      <c r="I226" s="833"/>
      <c r="J226" s="833"/>
    </row>
    <row r="227" spans="1:10" s="40" customFormat="1">
      <c r="A227" s="867">
        <v>240</v>
      </c>
      <c r="B227" s="834">
        <v>350</v>
      </c>
      <c r="C227" s="834">
        <v>100</v>
      </c>
      <c r="D227" s="837">
        <v>800</v>
      </c>
      <c r="E227" s="837"/>
      <c r="F227" s="838"/>
      <c r="G227" s="839" t="s">
        <v>4660</v>
      </c>
      <c r="H227" s="753" t="s">
        <v>4277</v>
      </c>
      <c r="I227" s="833"/>
      <c r="J227" s="833"/>
    </row>
    <row r="228" spans="1:10" s="40" customFormat="1">
      <c r="A228" s="867">
        <v>240</v>
      </c>
      <c r="B228" s="834">
        <v>350</v>
      </c>
      <c r="C228" s="834">
        <v>100</v>
      </c>
      <c r="D228" s="837">
        <v>900</v>
      </c>
      <c r="E228" s="837"/>
      <c r="F228" s="838"/>
      <c r="G228" s="839" t="s">
        <v>4690</v>
      </c>
      <c r="H228" s="753" t="s">
        <v>4279</v>
      </c>
      <c r="I228" s="833"/>
      <c r="J228" s="833"/>
    </row>
    <row r="229" spans="1:10" s="40" customFormat="1">
      <c r="A229" s="867">
        <v>240</v>
      </c>
      <c r="B229" s="834">
        <v>350</v>
      </c>
      <c r="C229" s="834">
        <v>200</v>
      </c>
      <c r="D229" s="834"/>
      <c r="E229" s="834"/>
      <c r="F229" s="835"/>
      <c r="G229" s="836" t="s">
        <v>4691</v>
      </c>
      <c r="H229" s="753" t="s">
        <v>4281</v>
      </c>
      <c r="I229" s="789"/>
      <c r="J229" s="789"/>
    </row>
    <row r="230" spans="1:10" s="40" customFormat="1">
      <c r="A230" s="867"/>
      <c r="B230" s="834"/>
      <c r="C230" s="834"/>
      <c r="D230" s="837"/>
      <c r="E230" s="834"/>
      <c r="F230" s="835"/>
      <c r="G230" s="836" t="s">
        <v>4691</v>
      </c>
      <c r="H230" s="753" t="s">
        <v>4283</v>
      </c>
      <c r="I230" s="789"/>
      <c r="J230" s="789"/>
    </row>
    <row r="231" spans="1:10" s="40" customFormat="1">
      <c r="A231" s="867">
        <v>240</v>
      </c>
      <c r="B231" s="834">
        <v>350</v>
      </c>
      <c r="C231" s="834">
        <v>200</v>
      </c>
      <c r="D231" s="837">
        <v>100</v>
      </c>
      <c r="E231" s="837"/>
      <c r="F231" s="838"/>
      <c r="G231" s="839" t="s">
        <v>4692</v>
      </c>
      <c r="H231" s="753" t="s">
        <v>4283</v>
      </c>
      <c r="I231" s="833">
        <v>3113318.85</v>
      </c>
      <c r="J231" s="833">
        <v>4219992</v>
      </c>
    </row>
    <row r="232" spans="1:10" s="40" customFormat="1">
      <c r="A232" s="867">
        <v>240</v>
      </c>
      <c r="B232" s="834">
        <v>350</v>
      </c>
      <c r="C232" s="834">
        <v>200</v>
      </c>
      <c r="D232" s="837">
        <v>200</v>
      </c>
      <c r="E232" s="837"/>
      <c r="F232" s="838"/>
      <c r="G232" s="839" t="s">
        <v>4693</v>
      </c>
      <c r="H232" s="753" t="s">
        <v>4283</v>
      </c>
      <c r="I232" s="833">
        <v>838999.38</v>
      </c>
      <c r="J232" s="833">
        <v>1423732</v>
      </c>
    </row>
    <row r="233" spans="1:10" s="40" customFormat="1">
      <c r="A233" s="867">
        <v>240</v>
      </c>
      <c r="B233" s="834">
        <v>350</v>
      </c>
      <c r="C233" s="834">
        <v>200</v>
      </c>
      <c r="D233" s="837">
        <v>400</v>
      </c>
      <c r="E233" s="837"/>
      <c r="F233" s="838"/>
      <c r="G233" s="839" t="s">
        <v>4694</v>
      </c>
      <c r="H233" s="753" t="s">
        <v>4283</v>
      </c>
      <c r="I233" s="833"/>
      <c r="J233" s="833"/>
    </row>
    <row r="234" spans="1:10" s="40" customFormat="1">
      <c r="A234" s="867">
        <v>240</v>
      </c>
      <c r="B234" s="834">
        <v>350</v>
      </c>
      <c r="C234" s="834">
        <v>200</v>
      </c>
      <c r="D234" s="837">
        <v>500</v>
      </c>
      <c r="E234" s="837"/>
      <c r="F234" s="838"/>
      <c r="G234" s="839" t="s">
        <v>4695</v>
      </c>
      <c r="H234" s="753" t="s">
        <v>4283</v>
      </c>
      <c r="I234" s="833"/>
      <c r="J234" s="833"/>
    </row>
    <row r="235" spans="1:10" s="40" customFormat="1">
      <c r="A235" s="867">
        <v>240</v>
      </c>
      <c r="B235" s="834">
        <v>350</v>
      </c>
      <c r="C235" s="834">
        <v>200</v>
      </c>
      <c r="D235" s="837">
        <v>600</v>
      </c>
      <c r="E235" s="837"/>
      <c r="F235" s="838"/>
      <c r="G235" s="839" t="s">
        <v>4696</v>
      </c>
      <c r="H235" s="753" t="s">
        <v>4283</v>
      </c>
      <c r="I235" s="833"/>
      <c r="J235" s="833"/>
    </row>
    <row r="236" spans="1:10" s="40" customFormat="1">
      <c r="A236" s="867">
        <v>240</v>
      </c>
      <c r="B236" s="834">
        <v>350</v>
      </c>
      <c r="C236" s="834">
        <v>200</v>
      </c>
      <c r="D236" s="837">
        <v>800</v>
      </c>
      <c r="E236" s="837"/>
      <c r="F236" s="838"/>
      <c r="G236" s="839" t="s">
        <v>4660</v>
      </c>
      <c r="H236" s="753" t="s">
        <v>4283</v>
      </c>
      <c r="I236" s="833">
        <v>4042448.62</v>
      </c>
      <c r="J236" s="833">
        <v>3673875</v>
      </c>
    </row>
    <row r="237" spans="1:10" s="40" customFormat="1">
      <c r="A237" s="867">
        <v>240</v>
      </c>
      <c r="B237" s="834">
        <v>350</v>
      </c>
      <c r="C237" s="834">
        <v>200</v>
      </c>
      <c r="D237" s="834">
        <v>900</v>
      </c>
      <c r="E237" s="834"/>
      <c r="F237" s="835"/>
      <c r="G237" s="849" t="s">
        <v>4697</v>
      </c>
      <c r="H237" s="753" t="s">
        <v>4285</v>
      </c>
      <c r="I237" s="833">
        <v>-358743.42</v>
      </c>
      <c r="J237" s="833">
        <v>-354295</v>
      </c>
    </row>
    <row r="238" spans="1:10" s="40" customFormat="1">
      <c r="A238" s="867">
        <v>240</v>
      </c>
      <c r="B238" s="834">
        <v>400</v>
      </c>
      <c r="C238" s="834"/>
      <c r="D238" s="834"/>
      <c r="E238" s="834"/>
      <c r="F238" s="835"/>
      <c r="G238" s="836" t="s">
        <v>4698</v>
      </c>
      <c r="H238" s="753" t="s">
        <v>4287</v>
      </c>
      <c r="I238" s="789"/>
      <c r="J238" s="789"/>
    </row>
    <row r="239" spans="1:10" s="40" customFormat="1">
      <c r="A239" s="867">
        <v>240</v>
      </c>
      <c r="B239" s="834">
        <v>400</v>
      </c>
      <c r="C239" s="837">
        <v>100</v>
      </c>
      <c r="D239" s="837"/>
      <c r="E239" s="837"/>
      <c r="F239" s="838"/>
      <c r="G239" s="839" t="s">
        <v>4699</v>
      </c>
      <c r="H239" s="753"/>
      <c r="I239" s="802"/>
      <c r="J239" s="802"/>
    </row>
    <row r="240" spans="1:10" s="40" customFormat="1">
      <c r="A240" s="867">
        <v>240</v>
      </c>
      <c r="B240" s="834">
        <v>400</v>
      </c>
      <c r="C240" s="837">
        <v>200</v>
      </c>
      <c r="D240" s="837"/>
      <c r="E240" s="837"/>
      <c r="F240" s="838"/>
      <c r="G240" s="839" t="s">
        <v>4700</v>
      </c>
      <c r="H240" s="753"/>
      <c r="I240" s="802"/>
      <c r="J240" s="802"/>
    </row>
    <row r="241" spans="1:10" s="40" customFormat="1">
      <c r="A241" s="867">
        <v>240</v>
      </c>
      <c r="B241" s="834">
        <v>450</v>
      </c>
      <c r="C241" s="834"/>
      <c r="D241" s="834"/>
      <c r="E241" s="834"/>
      <c r="F241" s="835"/>
      <c r="G241" s="836" t="s">
        <v>4701</v>
      </c>
      <c r="H241" s="753" t="s">
        <v>4289</v>
      </c>
      <c r="I241" s="789"/>
      <c r="J241" s="789"/>
    </row>
    <row r="242" spans="1:10" s="40" customFormat="1">
      <c r="A242" s="867">
        <v>240</v>
      </c>
      <c r="B242" s="834">
        <v>450</v>
      </c>
      <c r="C242" s="837">
        <v>100</v>
      </c>
      <c r="D242" s="837"/>
      <c r="E242" s="837"/>
      <c r="F242" s="838"/>
      <c r="G242" s="839" t="s">
        <v>114</v>
      </c>
      <c r="H242" s="753"/>
      <c r="I242" s="802"/>
      <c r="J242" s="802"/>
    </row>
    <row r="243" spans="1:10" s="40" customFormat="1">
      <c r="A243" s="867">
        <v>240</v>
      </c>
      <c r="B243" s="834">
        <v>450</v>
      </c>
      <c r="C243" s="837">
        <v>200</v>
      </c>
      <c r="D243" s="837"/>
      <c r="E243" s="837"/>
      <c r="F243" s="838"/>
      <c r="G243" s="839" t="s">
        <v>109</v>
      </c>
      <c r="H243" s="753"/>
      <c r="I243" s="802">
        <v>553569.77</v>
      </c>
      <c r="J243" s="802">
        <v>537738</v>
      </c>
    </row>
    <row r="244" spans="1:10" s="40" customFormat="1">
      <c r="A244" s="867">
        <v>240</v>
      </c>
      <c r="B244" s="834">
        <v>450</v>
      </c>
      <c r="C244" s="837">
        <v>300</v>
      </c>
      <c r="D244" s="837"/>
      <c r="E244" s="837"/>
      <c r="F244" s="838"/>
      <c r="G244" s="839" t="s">
        <v>4702</v>
      </c>
      <c r="H244" s="753"/>
      <c r="I244" s="802">
        <v>1361318.22</v>
      </c>
      <c r="J244" s="802">
        <v>1292050</v>
      </c>
    </row>
    <row r="245" spans="1:10" s="40" customFormat="1">
      <c r="A245" s="867">
        <v>240</v>
      </c>
      <c r="B245" s="834">
        <v>450</v>
      </c>
      <c r="C245" s="837">
        <v>400</v>
      </c>
      <c r="D245" s="837"/>
      <c r="E245" s="837"/>
      <c r="F245" s="838"/>
      <c r="G245" s="839" t="s">
        <v>4703</v>
      </c>
      <c r="H245" s="753"/>
      <c r="I245" s="802">
        <v>473837.43</v>
      </c>
      <c r="J245" s="802">
        <v>443375</v>
      </c>
    </row>
    <row r="246" spans="1:10" s="40" customFormat="1">
      <c r="A246" s="867">
        <v>240</v>
      </c>
      <c r="B246" s="834">
        <v>450</v>
      </c>
      <c r="C246" s="837">
        <v>500</v>
      </c>
      <c r="D246" s="837"/>
      <c r="E246" s="837"/>
      <c r="F246" s="838"/>
      <c r="G246" s="839" t="s">
        <v>4704</v>
      </c>
      <c r="H246" s="753"/>
      <c r="I246" s="802"/>
      <c r="J246" s="802"/>
    </row>
    <row r="247" spans="1:10" s="40" customFormat="1">
      <c r="A247" s="867">
        <v>240</v>
      </c>
      <c r="B247" s="834">
        <v>450</v>
      </c>
      <c r="C247" s="837">
        <v>600</v>
      </c>
      <c r="D247" s="837"/>
      <c r="E247" s="837"/>
      <c r="F247" s="838"/>
      <c r="G247" s="839" t="s">
        <v>4705</v>
      </c>
      <c r="H247" s="753"/>
      <c r="I247" s="802"/>
      <c r="J247" s="802"/>
    </row>
    <row r="248" spans="1:10" s="40" customFormat="1">
      <c r="A248" s="867">
        <v>240</v>
      </c>
      <c r="B248" s="834">
        <v>450</v>
      </c>
      <c r="C248" s="837">
        <v>700</v>
      </c>
      <c r="D248" s="837"/>
      <c r="E248" s="837"/>
      <c r="F248" s="838"/>
      <c r="G248" s="839" t="s">
        <v>4706</v>
      </c>
      <c r="H248" s="753"/>
      <c r="I248" s="802"/>
      <c r="J248" s="802"/>
    </row>
    <row r="249" spans="1:10" s="40" customFormat="1">
      <c r="A249" s="867">
        <v>240</v>
      </c>
      <c r="B249" s="834">
        <v>450</v>
      </c>
      <c r="C249" s="837">
        <v>800</v>
      </c>
      <c r="D249" s="837"/>
      <c r="E249" s="837"/>
      <c r="F249" s="838"/>
      <c r="G249" s="839" t="s">
        <v>4707</v>
      </c>
      <c r="H249" s="753"/>
      <c r="I249" s="802">
        <v>96608.61</v>
      </c>
      <c r="J249" s="802">
        <v>107289</v>
      </c>
    </row>
    <row r="250" spans="1:10" s="40" customFormat="1">
      <c r="A250" s="867">
        <v>240</v>
      </c>
      <c r="B250" s="834">
        <v>450</v>
      </c>
      <c r="C250" s="837">
        <v>900</v>
      </c>
      <c r="D250" s="837"/>
      <c r="E250" s="837"/>
      <c r="F250" s="838"/>
      <c r="G250" s="839" t="s">
        <v>4708</v>
      </c>
      <c r="H250" s="753"/>
      <c r="I250" s="802">
        <v>105680.22</v>
      </c>
      <c r="J250" s="802">
        <v>10784</v>
      </c>
    </row>
    <row r="251" spans="1:10" s="40" customFormat="1">
      <c r="A251" s="867">
        <v>240</v>
      </c>
      <c r="B251" s="834">
        <v>500</v>
      </c>
      <c r="C251" s="834"/>
      <c r="D251" s="834"/>
      <c r="E251" s="834"/>
      <c r="F251" s="835"/>
      <c r="G251" s="836" t="s">
        <v>4709</v>
      </c>
      <c r="H251" s="753" t="s">
        <v>4291</v>
      </c>
      <c r="I251" s="789"/>
      <c r="J251" s="789"/>
    </row>
    <row r="252" spans="1:10" s="40" customFormat="1">
      <c r="A252" s="867">
        <v>240</v>
      </c>
      <c r="B252" s="834">
        <v>500</v>
      </c>
      <c r="C252" s="837">
        <v>100</v>
      </c>
      <c r="D252" s="837"/>
      <c r="E252" s="837"/>
      <c r="F252" s="838"/>
      <c r="G252" s="839" t="s">
        <v>4710</v>
      </c>
      <c r="H252" s="753"/>
      <c r="I252" s="802">
        <v>2129086.35</v>
      </c>
      <c r="J252" s="802">
        <v>1969894</v>
      </c>
    </row>
    <row r="253" spans="1:10" s="40" customFormat="1">
      <c r="A253" s="867">
        <v>240</v>
      </c>
      <c r="B253" s="834">
        <v>500</v>
      </c>
      <c r="C253" s="837">
        <v>200</v>
      </c>
      <c r="D253" s="837"/>
      <c r="E253" s="837"/>
      <c r="F253" s="838"/>
      <c r="G253" s="839" t="s">
        <v>4711</v>
      </c>
      <c r="H253" s="753"/>
      <c r="I253" s="802">
        <v>10630.3</v>
      </c>
      <c r="J253" s="802">
        <v>8026</v>
      </c>
    </row>
    <row r="254" spans="1:10" s="40" customFormat="1">
      <c r="A254" s="867">
        <v>240</v>
      </c>
      <c r="B254" s="834">
        <v>500</v>
      </c>
      <c r="C254" s="837">
        <v>300</v>
      </c>
      <c r="D254" s="837"/>
      <c r="E254" s="837"/>
      <c r="F254" s="838"/>
      <c r="G254" s="839" t="s">
        <v>4712</v>
      </c>
      <c r="H254" s="753"/>
      <c r="I254" s="802">
        <v>14510.46</v>
      </c>
      <c r="J254" s="802">
        <v>40178</v>
      </c>
    </row>
    <row r="255" spans="1:10" s="40" customFormat="1">
      <c r="A255" s="867">
        <v>240</v>
      </c>
      <c r="B255" s="834">
        <v>500</v>
      </c>
      <c r="C255" s="837">
        <v>400</v>
      </c>
      <c r="D255" s="837"/>
      <c r="E255" s="837"/>
      <c r="F255" s="838"/>
      <c r="G255" s="839" t="s">
        <v>4713</v>
      </c>
      <c r="H255" s="753"/>
      <c r="I255" s="802"/>
      <c r="J255" s="802"/>
    </row>
    <row r="256" spans="1:10" s="40" customFormat="1">
      <c r="A256" s="867">
        <v>240</v>
      </c>
      <c r="B256" s="834">
        <v>500</v>
      </c>
      <c r="C256" s="837">
        <v>500</v>
      </c>
      <c r="D256" s="837"/>
      <c r="E256" s="837"/>
      <c r="F256" s="838"/>
      <c r="G256" s="839" t="s">
        <v>4714</v>
      </c>
      <c r="H256" s="753"/>
      <c r="I256" s="802"/>
      <c r="J256" s="802"/>
    </row>
    <row r="257" spans="1:10" s="40" customFormat="1">
      <c r="A257" s="867">
        <v>240</v>
      </c>
      <c r="B257" s="834">
        <v>500</v>
      </c>
      <c r="C257" s="837">
        <v>600</v>
      </c>
      <c r="D257" s="837"/>
      <c r="E257" s="837"/>
      <c r="F257" s="838"/>
      <c r="G257" s="839" t="s">
        <v>4715</v>
      </c>
      <c r="H257" s="753"/>
      <c r="I257" s="802">
        <v>19642.89</v>
      </c>
      <c r="J257" s="802">
        <v>19012</v>
      </c>
    </row>
    <row r="258" spans="1:10" s="40" customFormat="1">
      <c r="A258" s="867">
        <v>240</v>
      </c>
      <c r="B258" s="834">
        <v>500</v>
      </c>
      <c r="C258" s="837">
        <v>700</v>
      </c>
      <c r="D258" s="837"/>
      <c r="E258" s="837"/>
      <c r="F258" s="838"/>
      <c r="G258" s="839" t="s">
        <v>4716</v>
      </c>
      <c r="H258" s="753"/>
      <c r="I258" s="802"/>
      <c r="J258" s="802"/>
    </row>
    <row r="259" spans="1:10" s="40" customFormat="1">
      <c r="A259" s="867">
        <v>240</v>
      </c>
      <c r="B259" s="834">
        <v>500</v>
      </c>
      <c r="C259" s="837">
        <v>800</v>
      </c>
      <c r="D259" s="837"/>
      <c r="E259" s="837"/>
      <c r="F259" s="838"/>
      <c r="G259" s="839" t="s">
        <v>4717</v>
      </c>
      <c r="H259" s="753"/>
      <c r="I259" s="802"/>
      <c r="J259" s="802"/>
    </row>
    <row r="260" spans="1:10" s="40" customFormat="1">
      <c r="A260" s="867">
        <v>240</v>
      </c>
      <c r="B260" s="834">
        <v>500</v>
      </c>
      <c r="C260" s="837">
        <v>900</v>
      </c>
      <c r="D260" s="837"/>
      <c r="E260" s="837"/>
      <c r="F260" s="838"/>
      <c r="G260" s="839" t="s">
        <v>4718</v>
      </c>
      <c r="H260" s="753"/>
      <c r="I260" s="802">
        <v>30384.1</v>
      </c>
      <c r="J260" s="802">
        <v>24702</v>
      </c>
    </row>
    <row r="261" spans="1:10" s="40" customFormat="1">
      <c r="A261" s="867">
        <v>240</v>
      </c>
      <c r="B261" s="834">
        <v>550</v>
      </c>
      <c r="C261" s="834"/>
      <c r="D261" s="834"/>
      <c r="E261" s="834"/>
      <c r="F261" s="835"/>
      <c r="G261" s="836" t="s">
        <v>4719</v>
      </c>
      <c r="H261" s="753"/>
      <c r="I261" s="789"/>
      <c r="J261" s="789"/>
    </row>
    <row r="262" spans="1:10" s="40" customFormat="1">
      <c r="A262" s="867">
        <v>240</v>
      </c>
      <c r="B262" s="834">
        <v>550</v>
      </c>
      <c r="C262" s="837">
        <v>100</v>
      </c>
      <c r="D262" s="837"/>
      <c r="E262" s="837"/>
      <c r="F262" s="838"/>
      <c r="G262" s="794" t="s">
        <v>4720</v>
      </c>
      <c r="H262" s="753" t="s">
        <v>4295</v>
      </c>
      <c r="I262" s="802"/>
      <c r="J262" s="802"/>
    </row>
    <row r="263" spans="1:10" s="40" customFormat="1">
      <c r="A263" s="867">
        <v>240</v>
      </c>
      <c r="B263" s="834">
        <v>550</v>
      </c>
      <c r="C263" s="834">
        <v>200</v>
      </c>
      <c r="D263" s="834"/>
      <c r="E263" s="834"/>
      <c r="F263" s="835"/>
      <c r="G263" s="836" t="s">
        <v>4721</v>
      </c>
      <c r="H263" s="753" t="s">
        <v>4297</v>
      </c>
      <c r="I263" s="789"/>
      <c r="J263" s="789"/>
    </row>
    <row r="264" spans="1:10" s="40" customFormat="1">
      <c r="A264" s="867">
        <v>240</v>
      </c>
      <c r="B264" s="834">
        <v>550</v>
      </c>
      <c r="C264" s="834">
        <v>200</v>
      </c>
      <c r="D264" s="837">
        <v>100</v>
      </c>
      <c r="E264" s="837"/>
      <c r="F264" s="838"/>
      <c r="G264" s="839" t="s">
        <v>4722</v>
      </c>
      <c r="H264" s="753"/>
      <c r="I264" s="802">
        <v>1117937.1599999999</v>
      </c>
      <c r="J264" s="802">
        <v>1071295</v>
      </c>
    </row>
    <row r="265" spans="1:10" s="40" customFormat="1">
      <c r="A265" s="867">
        <v>240</v>
      </c>
      <c r="B265" s="834">
        <v>550</v>
      </c>
      <c r="C265" s="834">
        <v>200</v>
      </c>
      <c r="D265" s="837">
        <v>200</v>
      </c>
      <c r="E265" s="837"/>
      <c r="F265" s="838"/>
      <c r="G265" s="839" t="s">
        <v>4723</v>
      </c>
      <c r="H265" s="753"/>
      <c r="I265" s="802">
        <v>4266014.53</v>
      </c>
      <c r="J265" s="802">
        <v>3410219</v>
      </c>
    </row>
    <row r="266" spans="1:10" s="40" customFormat="1">
      <c r="A266" s="867">
        <v>240</v>
      </c>
      <c r="B266" s="834">
        <v>550</v>
      </c>
      <c r="C266" s="834">
        <v>300</v>
      </c>
      <c r="D266" s="834"/>
      <c r="E266" s="834"/>
      <c r="F266" s="835"/>
      <c r="G266" s="836" t="s">
        <v>4724</v>
      </c>
      <c r="H266" s="753" t="s">
        <v>4299</v>
      </c>
      <c r="I266" s="789"/>
      <c r="J266" s="789"/>
    </row>
    <row r="267" spans="1:10" s="40" customFormat="1">
      <c r="A267" s="867">
        <v>240</v>
      </c>
      <c r="B267" s="834">
        <v>550</v>
      </c>
      <c r="C267" s="834">
        <v>300</v>
      </c>
      <c r="D267" s="837">
        <v>100</v>
      </c>
      <c r="E267" s="837"/>
      <c r="F267" s="838"/>
      <c r="G267" s="839" t="s">
        <v>4725</v>
      </c>
      <c r="H267" s="771"/>
      <c r="I267" s="802"/>
      <c r="J267" s="802"/>
    </row>
    <row r="268" spans="1:10" s="40" customFormat="1">
      <c r="A268" s="867">
        <v>240</v>
      </c>
      <c r="B268" s="834">
        <v>550</v>
      </c>
      <c r="C268" s="834">
        <v>300</v>
      </c>
      <c r="D268" s="837">
        <v>200</v>
      </c>
      <c r="E268" s="837"/>
      <c r="F268" s="838"/>
      <c r="G268" s="839" t="s">
        <v>4726</v>
      </c>
      <c r="H268" s="771"/>
      <c r="I268" s="802"/>
      <c r="J268" s="802"/>
    </row>
    <row r="269" spans="1:10" s="40" customFormat="1">
      <c r="A269" s="867">
        <v>240</v>
      </c>
      <c r="B269" s="834">
        <v>550</v>
      </c>
      <c r="C269" s="834">
        <v>400</v>
      </c>
      <c r="D269" s="834"/>
      <c r="E269" s="834"/>
      <c r="F269" s="835"/>
      <c r="G269" s="836" t="s">
        <v>4727</v>
      </c>
      <c r="H269" s="753" t="s">
        <v>4301</v>
      </c>
      <c r="I269" s="789"/>
      <c r="J269" s="789"/>
    </row>
    <row r="270" spans="1:10" s="40" customFormat="1">
      <c r="A270" s="867">
        <v>240</v>
      </c>
      <c r="B270" s="834">
        <v>550</v>
      </c>
      <c r="C270" s="834">
        <v>400</v>
      </c>
      <c r="D270" s="837">
        <v>50</v>
      </c>
      <c r="E270" s="837"/>
      <c r="F270" s="838"/>
      <c r="G270" s="839" t="s">
        <v>4728</v>
      </c>
      <c r="H270" s="790"/>
      <c r="I270" s="802"/>
      <c r="J270" s="802"/>
    </row>
    <row r="271" spans="1:10" s="40" customFormat="1">
      <c r="A271" s="867">
        <v>240</v>
      </c>
      <c r="B271" s="834">
        <v>550</v>
      </c>
      <c r="C271" s="834">
        <v>400</v>
      </c>
      <c r="D271" s="837">
        <v>100</v>
      </c>
      <c r="E271" s="837"/>
      <c r="F271" s="838"/>
      <c r="G271" s="839" t="s">
        <v>4729</v>
      </c>
      <c r="H271" s="753"/>
      <c r="I271" s="802"/>
      <c r="J271" s="802"/>
    </row>
    <row r="272" spans="1:10" s="40" customFormat="1">
      <c r="A272" s="867">
        <v>240</v>
      </c>
      <c r="B272" s="834">
        <v>550</v>
      </c>
      <c r="C272" s="834">
        <v>400</v>
      </c>
      <c r="D272" s="837">
        <v>150</v>
      </c>
      <c r="E272" s="837"/>
      <c r="F272" s="838"/>
      <c r="G272" s="839" t="s">
        <v>4730</v>
      </c>
      <c r="H272" s="753"/>
      <c r="I272" s="802"/>
      <c r="J272" s="802"/>
    </row>
    <row r="273" spans="1:10" s="40" customFormat="1">
      <c r="A273" s="867">
        <v>240</v>
      </c>
      <c r="B273" s="834">
        <v>550</v>
      </c>
      <c r="C273" s="834">
        <v>400</v>
      </c>
      <c r="D273" s="837">
        <v>200</v>
      </c>
      <c r="E273" s="837"/>
      <c r="F273" s="838"/>
      <c r="G273" s="839" t="s">
        <v>4731</v>
      </c>
      <c r="H273" s="753"/>
      <c r="I273" s="802"/>
      <c r="J273" s="802"/>
    </row>
    <row r="274" spans="1:10" s="40" customFormat="1">
      <c r="A274" s="867">
        <v>240</v>
      </c>
      <c r="B274" s="834">
        <v>550</v>
      </c>
      <c r="C274" s="834">
        <v>400</v>
      </c>
      <c r="D274" s="834">
        <v>250</v>
      </c>
      <c r="E274" s="834"/>
      <c r="F274" s="835"/>
      <c r="G274" s="849" t="s">
        <v>4732</v>
      </c>
      <c r="H274" s="753"/>
      <c r="I274" s="789"/>
      <c r="J274" s="789"/>
    </row>
    <row r="275" spans="1:10" s="40" customFormat="1">
      <c r="A275" s="867">
        <v>240</v>
      </c>
      <c r="B275" s="834">
        <v>550</v>
      </c>
      <c r="C275" s="834">
        <v>400</v>
      </c>
      <c r="D275" s="834">
        <v>250</v>
      </c>
      <c r="E275" s="837">
        <v>10</v>
      </c>
      <c r="F275" s="838"/>
      <c r="G275" s="839" t="s">
        <v>4732</v>
      </c>
      <c r="H275" s="753"/>
      <c r="I275" s="802"/>
      <c r="J275" s="802"/>
    </row>
    <row r="276" spans="1:10" s="40" customFormat="1">
      <c r="A276" s="867">
        <v>240</v>
      </c>
      <c r="B276" s="834">
        <v>550</v>
      </c>
      <c r="C276" s="834">
        <v>400</v>
      </c>
      <c r="D276" s="834">
        <v>250</v>
      </c>
      <c r="E276" s="837">
        <v>20</v>
      </c>
      <c r="F276" s="838"/>
      <c r="G276" s="839" t="s">
        <v>4733</v>
      </c>
      <c r="H276" s="753"/>
      <c r="I276" s="802"/>
      <c r="J276" s="802"/>
    </row>
    <row r="277" spans="1:10" s="40" customFormat="1">
      <c r="A277" s="867">
        <v>240</v>
      </c>
      <c r="B277" s="834">
        <v>550</v>
      </c>
      <c r="C277" s="834">
        <v>400</v>
      </c>
      <c r="D277" s="837">
        <v>300</v>
      </c>
      <c r="E277" s="837"/>
      <c r="F277" s="838"/>
      <c r="G277" s="839" t="s">
        <v>4734</v>
      </c>
      <c r="H277" s="753"/>
      <c r="I277" s="802"/>
      <c r="J277" s="802"/>
    </row>
    <row r="278" spans="1:10" s="40" customFormat="1">
      <c r="A278" s="867">
        <v>240</v>
      </c>
      <c r="B278" s="834">
        <v>550</v>
      </c>
      <c r="C278" s="834">
        <v>400</v>
      </c>
      <c r="D278" s="837">
        <v>350</v>
      </c>
      <c r="E278" s="837"/>
      <c r="F278" s="838"/>
      <c r="G278" s="839" t="s">
        <v>4735</v>
      </c>
      <c r="H278" s="753"/>
      <c r="I278" s="802">
        <v>29407</v>
      </c>
      <c r="J278" s="802">
        <v>37886</v>
      </c>
    </row>
    <row r="279" spans="1:10" s="40" customFormat="1">
      <c r="A279" s="867">
        <v>240</v>
      </c>
      <c r="B279" s="834">
        <v>550</v>
      </c>
      <c r="C279" s="834">
        <v>400</v>
      </c>
      <c r="D279" s="837">
        <v>400</v>
      </c>
      <c r="E279" s="837"/>
      <c r="F279" s="838"/>
      <c r="G279" s="839" t="s">
        <v>4736</v>
      </c>
      <c r="H279" s="753"/>
      <c r="I279" s="802"/>
      <c r="J279" s="802" t="s">
        <v>3687</v>
      </c>
    </row>
    <row r="280" spans="1:10" s="40" customFormat="1">
      <c r="A280" s="867">
        <v>240</v>
      </c>
      <c r="B280" s="834">
        <v>550</v>
      </c>
      <c r="C280" s="834">
        <v>400</v>
      </c>
      <c r="D280" s="834">
        <v>450</v>
      </c>
      <c r="E280" s="834"/>
      <c r="F280" s="835"/>
      <c r="G280" s="849" t="s">
        <v>4737</v>
      </c>
      <c r="H280" s="753"/>
      <c r="I280" s="789"/>
      <c r="J280" s="789"/>
    </row>
    <row r="281" spans="1:10" s="40" customFormat="1">
      <c r="A281" s="867">
        <v>240</v>
      </c>
      <c r="B281" s="834">
        <v>550</v>
      </c>
      <c r="C281" s="834">
        <v>400</v>
      </c>
      <c r="D281" s="834">
        <v>450</v>
      </c>
      <c r="E281" s="837">
        <v>10</v>
      </c>
      <c r="F281" s="838"/>
      <c r="G281" s="839" t="s">
        <v>4737</v>
      </c>
      <c r="H281" s="753"/>
      <c r="I281" s="802"/>
      <c r="J281" s="802"/>
    </row>
    <row r="282" spans="1:10" s="40" customFormat="1">
      <c r="A282" s="867">
        <v>240</v>
      </c>
      <c r="B282" s="834">
        <v>550</v>
      </c>
      <c r="C282" s="834">
        <v>400</v>
      </c>
      <c r="D282" s="834">
        <v>450</v>
      </c>
      <c r="E282" s="837">
        <v>20</v>
      </c>
      <c r="F282" s="838"/>
      <c r="G282" s="839" t="s">
        <v>4738</v>
      </c>
      <c r="H282" s="753"/>
      <c r="I282" s="802">
        <v>420292</v>
      </c>
      <c r="J282" s="802">
        <v>389329</v>
      </c>
    </row>
    <row r="283" spans="1:10" s="40" customFormat="1">
      <c r="A283" s="867">
        <v>240</v>
      </c>
      <c r="B283" s="834">
        <v>550</v>
      </c>
      <c r="C283" s="834">
        <v>400</v>
      </c>
      <c r="D283" s="837">
        <v>500</v>
      </c>
      <c r="E283" s="837"/>
      <c r="F283" s="838"/>
      <c r="G283" s="839" t="s">
        <v>4739</v>
      </c>
      <c r="H283" s="753"/>
      <c r="I283" s="802">
        <v>511656.15</v>
      </c>
      <c r="J283" s="802">
        <v>779992</v>
      </c>
    </row>
    <row r="284" spans="1:10" s="40" customFormat="1">
      <c r="A284" s="867">
        <v>240</v>
      </c>
      <c r="B284" s="834">
        <v>550</v>
      </c>
      <c r="C284" s="834">
        <v>400</v>
      </c>
      <c r="D284" s="837">
        <v>600</v>
      </c>
      <c r="E284" s="837"/>
      <c r="F284" s="838"/>
      <c r="G284" s="839" t="s">
        <v>3623</v>
      </c>
      <c r="H284" s="753"/>
      <c r="I284" s="802">
        <v>136395.60999999999</v>
      </c>
      <c r="J284" s="802">
        <v>175471</v>
      </c>
    </row>
    <row r="285" spans="1:10" s="40" customFormat="1">
      <c r="A285" s="867">
        <v>240</v>
      </c>
      <c r="B285" s="834">
        <v>550</v>
      </c>
      <c r="C285" s="834">
        <v>400</v>
      </c>
      <c r="D285" s="834">
        <v>700</v>
      </c>
      <c r="E285" s="834"/>
      <c r="F285" s="835"/>
      <c r="G285" s="849" t="s">
        <v>4740</v>
      </c>
      <c r="H285" s="753"/>
      <c r="I285" s="789"/>
      <c r="J285" s="789"/>
    </row>
    <row r="286" spans="1:10" s="40" customFormat="1">
      <c r="A286" s="867">
        <v>240</v>
      </c>
      <c r="B286" s="834">
        <v>550</v>
      </c>
      <c r="C286" s="834">
        <v>400</v>
      </c>
      <c r="D286" s="834">
        <v>700</v>
      </c>
      <c r="E286" s="837">
        <v>10</v>
      </c>
      <c r="F286" s="838"/>
      <c r="G286" s="839" t="s">
        <v>4644</v>
      </c>
      <c r="H286" s="753"/>
      <c r="I286" s="802"/>
      <c r="J286" s="802"/>
    </row>
    <row r="287" spans="1:10" s="40" customFormat="1">
      <c r="A287" s="867">
        <v>240</v>
      </c>
      <c r="B287" s="834">
        <v>550</v>
      </c>
      <c r="C287" s="834">
        <v>400</v>
      </c>
      <c r="D287" s="834">
        <v>700</v>
      </c>
      <c r="E287" s="837">
        <v>20</v>
      </c>
      <c r="F287" s="838"/>
      <c r="G287" s="839" t="s">
        <v>4740</v>
      </c>
      <c r="H287" s="753"/>
      <c r="I287" s="802">
        <v>41500.589999999997</v>
      </c>
      <c r="J287" s="802">
        <v>48398</v>
      </c>
    </row>
    <row r="288" spans="1:10" s="40" customFormat="1">
      <c r="A288" s="867">
        <v>240</v>
      </c>
      <c r="B288" s="834">
        <v>550</v>
      </c>
      <c r="C288" s="834">
        <v>400</v>
      </c>
      <c r="D288" s="837">
        <v>800</v>
      </c>
      <c r="E288" s="837"/>
      <c r="F288" s="838"/>
      <c r="G288" s="839" t="s">
        <v>4660</v>
      </c>
      <c r="H288" s="753"/>
      <c r="I288" s="802">
        <v>10575.54</v>
      </c>
      <c r="J288" s="802">
        <v>1206</v>
      </c>
    </row>
    <row r="289" spans="1:13" s="40" customFormat="1">
      <c r="A289" s="867">
        <v>240</v>
      </c>
      <c r="B289" s="834">
        <v>550</v>
      </c>
      <c r="C289" s="834">
        <v>400</v>
      </c>
      <c r="D289" s="837">
        <v>900</v>
      </c>
      <c r="E289" s="837"/>
      <c r="F289" s="838"/>
      <c r="G289" s="839" t="s">
        <v>4645</v>
      </c>
      <c r="H289" s="753"/>
      <c r="I289" s="802"/>
      <c r="J289" s="802"/>
    </row>
    <row r="290" spans="1:13" s="40" customFormat="1">
      <c r="A290" s="853">
        <v>250</v>
      </c>
      <c r="B290" s="854">
        <v>0</v>
      </c>
      <c r="C290" s="854">
        <v>0</v>
      </c>
      <c r="D290" s="854">
        <v>0</v>
      </c>
      <c r="E290" s="854">
        <v>0</v>
      </c>
      <c r="F290" s="855">
        <v>0</v>
      </c>
      <c r="G290" s="856" t="s">
        <v>3681</v>
      </c>
      <c r="H290" s="776"/>
      <c r="I290" s="848"/>
      <c r="J290" s="848"/>
    </row>
    <row r="291" spans="1:13" s="40" customFormat="1">
      <c r="A291" s="867">
        <v>250</v>
      </c>
      <c r="B291" s="834">
        <v>100</v>
      </c>
      <c r="C291" s="834"/>
      <c r="D291" s="834"/>
      <c r="E291" s="834"/>
      <c r="F291" s="835"/>
      <c r="G291" s="836" t="s">
        <v>4741</v>
      </c>
      <c r="H291" s="753"/>
      <c r="I291" s="789"/>
      <c r="J291" s="789"/>
    </row>
    <row r="292" spans="1:13" s="40" customFormat="1">
      <c r="A292" s="867">
        <v>250</v>
      </c>
      <c r="B292" s="834">
        <v>100</v>
      </c>
      <c r="C292" s="837">
        <v>100</v>
      </c>
      <c r="D292" s="837"/>
      <c r="E292" s="837"/>
      <c r="F292" s="838"/>
      <c r="G292" s="794" t="s">
        <v>3682</v>
      </c>
      <c r="H292" s="753" t="s">
        <v>4307</v>
      </c>
      <c r="I292" s="802">
        <v>7070.53</v>
      </c>
      <c r="J292" s="802">
        <v>15795</v>
      </c>
    </row>
    <row r="293" spans="1:13" s="40" customFormat="1">
      <c r="A293" s="867">
        <v>250</v>
      </c>
      <c r="B293" s="834">
        <v>100</v>
      </c>
      <c r="C293" s="837">
        <v>200</v>
      </c>
      <c r="D293" s="837"/>
      <c r="E293" s="837"/>
      <c r="F293" s="838"/>
      <c r="G293" s="794" t="s">
        <v>4742</v>
      </c>
      <c r="H293" s="753" t="s">
        <v>4309</v>
      </c>
      <c r="I293" s="802"/>
      <c r="J293" s="802"/>
    </row>
    <row r="294" spans="1:13" s="747" customFormat="1">
      <c r="A294" s="867">
        <v>250</v>
      </c>
      <c r="B294" s="834">
        <v>200</v>
      </c>
      <c r="C294" s="837"/>
      <c r="D294" s="837"/>
      <c r="E294" s="837"/>
      <c r="F294" s="838"/>
      <c r="G294" s="836" t="s">
        <v>4743</v>
      </c>
      <c r="H294" s="753"/>
      <c r="I294" s="789"/>
      <c r="J294" s="789"/>
    </row>
    <row r="295" spans="1:13" s="40" customFormat="1">
      <c r="A295" s="867">
        <v>250</v>
      </c>
      <c r="B295" s="834">
        <v>200</v>
      </c>
      <c r="C295" s="837">
        <v>100</v>
      </c>
      <c r="D295" s="837"/>
      <c r="E295" s="837"/>
      <c r="F295" s="838"/>
      <c r="G295" s="794" t="s">
        <v>3683</v>
      </c>
      <c r="H295" s="753" t="s">
        <v>4313</v>
      </c>
      <c r="I295" s="802"/>
      <c r="J295" s="802">
        <v>0</v>
      </c>
    </row>
    <row r="296" spans="1:13" s="40" customFormat="1">
      <c r="A296" s="872">
        <v>250</v>
      </c>
      <c r="B296" s="857">
        <v>200</v>
      </c>
      <c r="C296" s="841">
        <v>200</v>
      </c>
      <c r="D296" s="841"/>
      <c r="E296" s="841"/>
      <c r="F296" s="873"/>
      <c r="G296" s="843" t="s">
        <v>4744</v>
      </c>
      <c r="H296" s="771" t="s">
        <v>4315</v>
      </c>
      <c r="I296" s="802"/>
      <c r="J296" s="802"/>
    </row>
    <row r="297" spans="1:13" s="40" customFormat="1" ht="38.25">
      <c r="A297" s="872">
        <v>250</v>
      </c>
      <c r="B297" s="857">
        <v>200</v>
      </c>
      <c r="C297" s="841">
        <v>300</v>
      </c>
      <c r="D297" s="841"/>
      <c r="E297" s="841"/>
      <c r="F297" s="842"/>
      <c r="G297" s="843" t="s">
        <v>4745</v>
      </c>
      <c r="H297" s="771" t="s">
        <v>4317</v>
      </c>
      <c r="I297" s="802"/>
      <c r="J297" s="802"/>
    </row>
    <row r="298" spans="1:13" s="40" customFormat="1">
      <c r="A298" s="874">
        <v>280</v>
      </c>
      <c r="B298" s="875">
        <v>0</v>
      </c>
      <c r="C298" s="875">
        <v>0</v>
      </c>
      <c r="D298" s="875">
        <v>0</v>
      </c>
      <c r="E298" s="875">
        <v>0</v>
      </c>
      <c r="F298" s="876">
        <v>0</v>
      </c>
      <c r="G298" s="877" t="s">
        <v>4746</v>
      </c>
      <c r="H298" s="878" t="s">
        <v>4319</v>
      </c>
      <c r="I298" s="879">
        <v>159456837.77000001</v>
      </c>
      <c r="J298" s="879">
        <v>165763595</v>
      </c>
      <c r="L298" s="778"/>
      <c r="M298" s="778"/>
    </row>
    <row r="299" spans="1:13" s="40" customFormat="1">
      <c r="A299" s="844">
        <v>290</v>
      </c>
      <c r="B299" s="845">
        <v>0</v>
      </c>
      <c r="C299" s="845">
        <v>0</v>
      </c>
      <c r="D299" s="845">
        <v>0</v>
      </c>
      <c r="E299" s="845">
        <v>0</v>
      </c>
      <c r="F299" s="846">
        <v>0</v>
      </c>
      <c r="G299" s="847" t="s">
        <v>4747</v>
      </c>
      <c r="H299" s="776"/>
      <c r="I299" s="848"/>
      <c r="J299" s="848"/>
    </row>
    <row r="300" spans="1:13" s="40" customFormat="1">
      <c r="A300" s="867">
        <v>290</v>
      </c>
      <c r="B300" s="837">
        <v>100</v>
      </c>
      <c r="C300" s="837"/>
      <c r="D300" s="837"/>
      <c r="E300" s="837"/>
      <c r="F300" s="838"/>
      <c r="G300" s="839" t="s">
        <v>4748</v>
      </c>
      <c r="H300" s="880"/>
      <c r="I300" s="810"/>
      <c r="J300" s="810"/>
    </row>
    <row r="301" spans="1:13" s="40" customFormat="1">
      <c r="A301" s="867">
        <v>290</v>
      </c>
      <c r="B301" s="837">
        <v>200</v>
      </c>
      <c r="C301" s="837"/>
      <c r="D301" s="837"/>
      <c r="E301" s="837"/>
      <c r="F301" s="838"/>
      <c r="G301" s="839" t="s">
        <v>4749</v>
      </c>
      <c r="H301" s="880"/>
      <c r="I301" s="810"/>
      <c r="J301" s="810"/>
    </row>
    <row r="302" spans="1:13" s="40" customFormat="1">
      <c r="A302" s="867">
        <v>290</v>
      </c>
      <c r="B302" s="837">
        <v>300</v>
      </c>
      <c r="C302" s="837"/>
      <c r="D302" s="837"/>
      <c r="E302" s="837"/>
      <c r="F302" s="838"/>
      <c r="G302" s="839" t="s">
        <v>4750</v>
      </c>
      <c r="H302" s="880"/>
      <c r="I302" s="810"/>
      <c r="J302" s="810"/>
    </row>
    <row r="303" spans="1:13" s="747" customFormat="1">
      <c r="A303" s="853">
        <v>295</v>
      </c>
      <c r="B303" s="854">
        <v>0</v>
      </c>
      <c r="C303" s="854">
        <v>0</v>
      </c>
      <c r="D303" s="854">
        <v>0</v>
      </c>
      <c r="E303" s="854">
        <v>0</v>
      </c>
      <c r="F303" s="855">
        <v>0</v>
      </c>
      <c r="G303" s="856" t="s">
        <v>3620</v>
      </c>
      <c r="H303" s="776"/>
      <c r="I303" s="848"/>
      <c r="J303" s="848"/>
    </row>
    <row r="304" spans="1:13" s="40" customFormat="1">
      <c r="A304" s="867">
        <v>295</v>
      </c>
      <c r="B304" s="837">
        <v>100</v>
      </c>
      <c r="C304" s="837"/>
      <c r="D304" s="837"/>
      <c r="E304" s="837"/>
      <c r="F304" s="838"/>
      <c r="G304" s="794" t="s">
        <v>4484</v>
      </c>
      <c r="H304" s="753" t="s">
        <v>4323</v>
      </c>
      <c r="I304" s="810">
        <v>22159.96</v>
      </c>
      <c r="J304" s="810">
        <v>66479</v>
      </c>
    </row>
    <row r="305" spans="1:10" s="40" customFormat="1">
      <c r="A305" s="867">
        <v>295</v>
      </c>
      <c r="B305" s="837">
        <v>200</v>
      </c>
      <c r="C305" s="837"/>
      <c r="D305" s="837"/>
      <c r="E305" s="837"/>
      <c r="F305" s="838"/>
      <c r="G305" s="794" t="s">
        <v>4485</v>
      </c>
      <c r="H305" s="753" t="s">
        <v>4325</v>
      </c>
      <c r="I305" s="810"/>
      <c r="J305" s="810"/>
    </row>
    <row r="306" spans="1:10" s="40" customFormat="1">
      <c r="A306" s="867">
        <v>295</v>
      </c>
      <c r="B306" s="837">
        <v>300</v>
      </c>
      <c r="C306" s="837"/>
      <c r="D306" s="837"/>
      <c r="E306" s="837"/>
      <c r="F306" s="838"/>
      <c r="G306" s="794" t="s">
        <v>4486</v>
      </c>
      <c r="H306" s="753" t="s">
        <v>4327</v>
      </c>
      <c r="I306" s="810">
        <v>1463350.4</v>
      </c>
      <c r="J306" s="810">
        <v>1463350</v>
      </c>
    </row>
    <row r="307" spans="1:10" s="747" customFormat="1">
      <c r="A307" s="867">
        <v>295</v>
      </c>
      <c r="B307" s="837">
        <v>350</v>
      </c>
      <c r="C307" s="837"/>
      <c r="D307" s="837"/>
      <c r="E307" s="837"/>
      <c r="F307" s="838"/>
      <c r="G307" s="794" t="s">
        <v>4487</v>
      </c>
      <c r="H307" s="753" t="s">
        <v>4329</v>
      </c>
      <c r="I307" s="810"/>
      <c r="J307" s="810"/>
    </row>
    <row r="308" spans="1:10" s="40" customFormat="1">
      <c r="A308" s="867">
        <v>295</v>
      </c>
      <c r="B308" s="834">
        <v>400</v>
      </c>
      <c r="C308" s="834"/>
      <c r="D308" s="834"/>
      <c r="E308" s="834"/>
      <c r="F308" s="835"/>
      <c r="G308" s="836" t="s">
        <v>4488</v>
      </c>
      <c r="H308" s="753" t="s">
        <v>4331</v>
      </c>
      <c r="I308" s="848"/>
      <c r="J308" s="848"/>
    </row>
    <row r="309" spans="1:10" s="40" customFormat="1">
      <c r="A309" s="867">
        <v>295</v>
      </c>
      <c r="B309" s="834">
        <v>400</v>
      </c>
      <c r="C309" s="837">
        <v>100</v>
      </c>
      <c r="D309" s="837"/>
      <c r="E309" s="837"/>
      <c r="F309" s="838"/>
      <c r="G309" s="839" t="s">
        <v>4489</v>
      </c>
      <c r="H309" s="753"/>
      <c r="I309" s="810"/>
      <c r="J309" s="810"/>
    </row>
    <row r="310" spans="1:10" s="40" customFormat="1">
      <c r="A310" s="867">
        <v>295</v>
      </c>
      <c r="B310" s="834">
        <v>400</v>
      </c>
      <c r="C310" s="837">
        <v>200</v>
      </c>
      <c r="D310" s="837"/>
      <c r="E310" s="837"/>
      <c r="F310" s="838"/>
      <c r="G310" s="839" t="s">
        <v>3623</v>
      </c>
      <c r="H310" s="881"/>
      <c r="I310" s="810"/>
      <c r="J310" s="810"/>
    </row>
    <row r="311" spans="1:10" s="40" customFormat="1">
      <c r="A311" s="867">
        <v>295</v>
      </c>
      <c r="B311" s="834">
        <v>400</v>
      </c>
      <c r="C311" s="837">
        <v>300</v>
      </c>
      <c r="D311" s="837"/>
      <c r="E311" s="837"/>
      <c r="F311" s="838"/>
      <c r="G311" s="839" t="s">
        <v>4490</v>
      </c>
      <c r="H311" s="881"/>
      <c r="I311" s="802">
        <v>1277134.0900000001</v>
      </c>
      <c r="J311" s="802">
        <v>1277134</v>
      </c>
    </row>
    <row r="312" spans="1:10" s="40" customFormat="1">
      <c r="A312" s="867">
        <v>295</v>
      </c>
      <c r="B312" s="834">
        <v>400</v>
      </c>
      <c r="C312" s="837">
        <v>400</v>
      </c>
      <c r="D312" s="837"/>
      <c r="E312" s="837"/>
      <c r="F312" s="838"/>
      <c r="G312" s="839" t="s">
        <v>4491</v>
      </c>
      <c r="H312" s="881"/>
      <c r="I312" s="802"/>
      <c r="J312" s="802"/>
    </row>
    <row r="313" spans="1:10" s="40" customFormat="1">
      <c r="A313" s="867">
        <v>295</v>
      </c>
      <c r="B313" s="834">
        <v>400</v>
      </c>
      <c r="C313" s="837">
        <v>500</v>
      </c>
      <c r="D313" s="837"/>
      <c r="E313" s="837"/>
      <c r="F313" s="838"/>
      <c r="G313" s="839" t="s">
        <v>4492</v>
      </c>
      <c r="H313" s="881"/>
      <c r="I313" s="802"/>
      <c r="J313" s="802"/>
    </row>
    <row r="314" spans="1:10" s="40" customFormat="1">
      <c r="A314" s="867">
        <v>295</v>
      </c>
      <c r="B314" s="834">
        <v>400</v>
      </c>
      <c r="C314" s="837">
        <v>600</v>
      </c>
      <c r="D314" s="837"/>
      <c r="E314" s="837"/>
      <c r="F314" s="838"/>
      <c r="G314" s="839" t="s">
        <v>4493</v>
      </c>
      <c r="H314" s="881"/>
      <c r="I314" s="810"/>
      <c r="J314" s="810"/>
    </row>
    <row r="315" spans="1:10" s="40" customFormat="1" ht="13.5" thickBot="1">
      <c r="A315" s="882">
        <v>295</v>
      </c>
      <c r="B315" s="883">
        <v>400</v>
      </c>
      <c r="C315" s="884">
        <v>900</v>
      </c>
      <c r="D315" s="884"/>
      <c r="E315" s="884"/>
      <c r="F315" s="885"/>
      <c r="G315" s="886" t="s">
        <v>4494</v>
      </c>
      <c r="H315" s="887"/>
      <c r="I315" s="817"/>
      <c r="J315" s="817"/>
    </row>
    <row r="316" spans="1:10" s="40" customFormat="1">
      <c r="A316" s="888"/>
      <c r="B316" s="888"/>
      <c r="H316" s="818"/>
      <c r="I316" s="889"/>
      <c r="J316" s="889"/>
    </row>
    <row r="317" spans="1:10" s="40" customFormat="1">
      <c r="A317" s="740"/>
      <c r="B317" s="740"/>
      <c r="C317" s="740"/>
      <c r="D317" s="740"/>
      <c r="E317" s="740"/>
      <c r="F317" s="740"/>
      <c r="G317" s="740"/>
      <c r="H317" s="820"/>
      <c r="I317" s="976"/>
      <c r="J317" s="976"/>
    </row>
    <row r="318" spans="1:10" s="40" customFormat="1">
      <c r="A318" s="888"/>
      <c r="B318" s="888"/>
      <c r="H318" s="818"/>
      <c r="I318" s="192"/>
      <c r="J318" s="192"/>
    </row>
    <row r="319" spans="1:10" s="40" customFormat="1">
      <c r="A319" s="888"/>
      <c r="H319" s="818"/>
      <c r="I319" s="192"/>
      <c r="J319" s="192"/>
    </row>
    <row r="320" spans="1:10" s="40" customFormat="1">
      <c r="A320" s="740"/>
      <c r="B320" s="740"/>
      <c r="C320" s="740"/>
      <c r="D320" s="740"/>
      <c r="E320" s="740"/>
      <c r="F320" s="740"/>
      <c r="G320" s="740"/>
      <c r="H320" s="820"/>
      <c r="I320" s="976"/>
      <c r="J320" s="976"/>
    </row>
    <row r="322" spans="1:10" s="40" customFormat="1">
      <c r="A322" s="740"/>
      <c r="B322" s="740"/>
      <c r="C322" s="740"/>
      <c r="D322" s="740"/>
      <c r="E322" s="740"/>
      <c r="F322" s="740"/>
      <c r="G322" s="740"/>
      <c r="H322" s="820"/>
      <c r="I322" s="976"/>
      <c r="J322" s="976"/>
    </row>
    <row r="323" spans="1:10" s="40" customFormat="1">
      <c r="A323" s="740"/>
      <c r="B323" s="740"/>
      <c r="C323" s="740"/>
      <c r="D323" s="740"/>
      <c r="E323" s="740"/>
      <c r="F323" s="740"/>
      <c r="G323" s="740"/>
      <c r="H323" s="820"/>
      <c r="I323" s="976"/>
      <c r="J323" s="976"/>
    </row>
  </sheetData>
  <autoFilter ref="A2:M315" xr:uid="{00000000-0009-0000-0000-000007000000}"/>
  <mergeCells count="5">
    <mergeCell ref="A1:F1"/>
    <mergeCell ref="G1:G2"/>
    <mergeCell ref="H1:H2"/>
    <mergeCell ref="I1:I2"/>
    <mergeCell ref="J1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15"/>
  <sheetViews>
    <sheetView showGridLines="0" zoomScaleNormal="100" workbookViewId="0">
      <selection activeCell="E31" sqref="E1:M1048576"/>
    </sheetView>
  </sheetViews>
  <sheetFormatPr defaultRowHeight="12.75"/>
  <cols>
    <col min="1" max="1" width="6.42578125" style="891" customWidth="1"/>
    <col min="2" max="2" width="60.42578125" style="891" customWidth="1"/>
    <col min="3" max="3" width="15" style="973" customWidth="1"/>
    <col min="4" max="4" width="14.85546875" style="974" customWidth="1"/>
    <col min="5" max="5" width="12" style="890" bestFit="1" customWidth="1"/>
    <col min="6" max="6" width="21.85546875" style="890" customWidth="1"/>
    <col min="7" max="13" width="8.85546875" style="891"/>
    <col min="14" max="14" width="46.42578125" style="891" customWidth="1"/>
    <col min="15" max="251" width="8.85546875" style="891"/>
    <col min="252" max="252" width="6.42578125" style="891" customWidth="1"/>
    <col min="253" max="253" width="72.42578125" style="891" bestFit="1" customWidth="1"/>
    <col min="254" max="254" width="15" style="891" customWidth="1"/>
    <col min="255" max="255" width="14.85546875" style="891" customWidth="1"/>
    <col min="256" max="256" width="8.5703125" style="891" customWidth="1"/>
    <col min="257" max="507" width="8.85546875" style="891"/>
    <col min="508" max="508" width="6.42578125" style="891" customWidth="1"/>
    <col min="509" max="509" width="72.42578125" style="891" bestFit="1" customWidth="1"/>
    <col min="510" max="510" width="15" style="891" customWidth="1"/>
    <col min="511" max="511" width="14.85546875" style="891" customWidth="1"/>
    <col min="512" max="512" width="8.5703125" style="891" customWidth="1"/>
    <col min="513" max="763" width="8.85546875" style="891"/>
    <col min="764" max="764" width="6.42578125" style="891" customWidth="1"/>
    <col min="765" max="765" width="72.42578125" style="891" bestFit="1" customWidth="1"/>
    <col min="766" max="766" width="15" style="891" customWidth="1"/>
    <col min="767" max="767" width="14.85546875" style="891" customWidth="1"/>
    <col min="768" max="768" width="8.5703125" style="891" customWidth="1"/>
    <col min="769" max="1019" width="8.85546875" style="891"/>
    <col min="1020" max="1020" width="6.42578125" style="891" customWidth="1"/>
    <col min="1021" max="1021" width="72.42578125" style="891" bestFit="1" customWidth="1"/>
    <col min="1022" max="1022" width="15" style="891" customWidth="1"/>
    <col min="1023" max="1023" width="14.85546875" style="891" customWidth="1"/>
    <col min="1024" max="1024" width="8.5703125" style="891" customWidth="1"/>
    <col min="1025" max="1275" width="8.85546875" style="891"/>
    <col min="1276" max="1276" width="6.42578125" style="891" customWidth="1"/>
    <col min="1277" max="1277" width="72.42578125" style="891" bestFit="1" customWidth="1"/>
    <col min="1278" max="1278" width="15" style="891" customWidth="1"/>
    <col min="1279" max="1279" width="14.85546875" style="891" customWidth="1"/>
    <col min="1280" max="1280" width="8.5703125" style="891" customWidth="1"/>
    <col min="1281" max="1531" width="8.85546875" style="891"/>
    <col min="1532" max="1532" width="6.42578125" style="891" customWidth="1"/>
    <col min="1533" max="1533" width="72.42578125" style="891" bestFit="1" customWidth="1"/>
    <col min="1534" max="1534" width="15" style="891" customWidth="1"/>
    <col min="1535" max="1535" width="14.85546875" style="891" customWidth="1"/>
    <col min="1536" max="1536" width="8.5703125" style="891" customWidth="1"/>
    <col min="1537" max="1787" width="8.85546875" style="891"/>
    <col min="1788" max="1788" width="6.42578125" style="891" customWidth="1"/>
    <col min="1789" max="1789" width="72.42578125" style="891" bestFit="1" customWidth="1"/>
    <col min="1790" max="1790" width="15" style="891" customWidth="1"/>
    <col min="1791" max="1791" width="14.85546875" style="891" customWidth="1"/>
    <col min="1792" max="1792" width="8.5703125" style="891" customWidth="1"/>
    <col min="1793" max="2043" width="8.85546875" style="891"/>
    <col min="2044" max="2044" width="6.42578125" style="891" customWidth="1"/>
    <col min="2045" max="2045" width="72.42578125" style="891" bestFit="1" customWidth="1"/>
    <col min="2046" max="2046" width="15" style="891" customWidth="1"/>
    <col min="2047" max="2047" width="14.85546875" style="891" customWidth="1"/>
    <col min="2048" max="2048" width="8.5703125" style="891" customWidth="1"/>
    <col min="2049" max="2299" width="8.85546875" style="891"/>
    <col min="2300" max="2300" width="6.42578125" style="891" customWidth="1"/>
    <col min="2301" max="2301" width="72.42578125" style="891" bestFit="1" customWidth="1"/>
    <col min="2302" max="2302" width="15" style="891" customWidth="1"/>
    <col min="2303" max="2303" width="14.85546875" style="891" customWidth="1"/>
    <col min="2304" max="2304" width="8.5703125" style="891" customWidth="1"/>
    <col min="2305" max="2555" width="8.85546875" style="891"/>
    <col min="2556" max="2556" width="6.42578125" style="891" customWidth="1"/>
    <col min="2557" max="2557" width="72.42578125" style="891" bestFit="1" customWidth="1"/>
    <col min="2558" max="2558" width="15" style="891" customWidth="1"/>
    <col min="2559" max="2559" width="14.85546875" style="891" customWidth="1"/>
    <col min="2560" max="2560" width="8.5703125" style="891" customWidth="1"/>
    <col min="2561" max="2811" width="8.85546875" style="891"/>
    <col min="2812" max="2812" width="6.42578125" style="891" customWidth="1"/>
    <col min="2813" max="2813" width="72.42578125" style="891" bestFit="1" customWidth="1"/>
    <col min="2814" max="2814" width="15" style="891" customWidth="1"/>
    <col min="2815" max="2815" width="14.85546875" style="891" customWidth="1"/>
    <col min="2816" max="2816" width="8.5703125" style="891" customWidth="1"/>
    <col min="2817" max="3067" width="8.85546875" style="891"/>
    <col min="3068" max="3068" width="6.42578125" style="891" customWidth="1"/>
    <col min="3069" max="3069" width="72.42578125" style="891" bestFit="1" customWidth="1"/>
    <col min="3070" max="3070" width="15" style="891" customWidth="1"/>
    <col min="3071" max="3071" width="14.85546875" style="891" customWidth="1"/>
    <col min="3072" max="3072" width="8.5703125" style="891" customWidth="1"/>
    <col min="3073" max="3323" width="8.85546875" style="891"/>
    <col min="3324" max="3324" width="6.42578125" style="891" customWidth="1"/>
    <col min="3325" max="3325" width="72.42578125" style="891" bestFit="1" customWidth="1"/>
    <col min="3326" max="3326" width="15" style="891" customWidth="1"/>
    <col min="3327" max="3327" width="14.85546875" style="891" customWidth="1"/>
    <col min="3328" max="3328" width="8.5703125" style="891" customWidth="1"/>
    <col min="3329" max="3579" width="8.85546875" style="891"/>
    <col min="3580" max="3580" width="6.42578125" style="891" customWidth="1"/>
    <col min="3581" max="3581" width="72.42578125" style="891" bestFit="1" customWidth="1"/>
    <col min="3582" max="3582" width="15" style="891" customWidth="1"/>
    <col min="3583" max="3583" width="14.85546875" style="891" customWidth="1"/>
    <col min="3584" max="3584" width="8.5703125" style="891" customWidth="1"/>
    <col min="3585" max="3835" width="8.85546875" style="891"/>
    <col min="3836" max="3836" width="6.42578125" style="891" customWidth="1"/>
    <col min="3837" max="3837" width="72.42578125" style="891" bestFit="1" customWidth="1"/>
    <col min="3838" max="3838" width="15" style="891" customWidth="1"/>
    <col min="3839" max="3839" width="14.85546875" style="891" customWidth="1"/>
    <col min="3840" max="3840" width="8.5703125" style="891" customWidth="1"/>
    <col min="3841" max="4091" width="8.85546875" style="891"/>
    <col min="4092" max="4092" width="6.42578125" style="891" customWidth="1"/>
    <col min="4093" max="4093" width="72.42578125" style="891" bestFit="1" customWidth="1"/>
    <col min="4094" max="4094" width="15" style="891" customWidth="1"/>
    <col min="4095" max="4095" width="14.85546875" style="891" customWidth="1"/>
    <col min="4096" max="4096" width="8.5703125" style="891" customWidth="1"/>
    <col min="4097" max="4347" width="8.85546875" style="891"/>
    <col min="4348" max="4348" width="6.42578125" style="891" customWidth="1"/>
    <col min="4349" max="4349" width="72.42578125" style="891" bestFit="1" customWidth="1"/>
    <col min="4350" max="4350" width="15" style="891" customWidth="1"/>
    <col min="4351" max="4351" width="14.85546875" style="891" customWidth="1"/>
    <col min="4352" max="4352" width="8.5703125" style="891" customWidth="1"/>
    <col min="4353" max="4603" width="8.85546875" style="891"/>
    <col min="4604" max="4604" width="6.42578125" style="891" customWidth="1"/>
    <col min="4605" max="4605" width="72.42578125" style="891" bestFit="1" customWidth="1"/>
    <col min="4606" max="4606" width="15" style="891" customWidth="1"/>
    <col min="4607" max="4607" width="14.85546875" style="891" customWidth="1"/>
    <col min="4608" max="4608" width="8.5703125" style="891" customWidth="1"/>
    <col min="4609" max="4859" width="8.85546875" style="891"/>
    <col min="4860" max="4860" width="6.42578125" style="891" customWidth="1"/>
    <col min="4861" max="4861" width="72.42578125" style="891" bestFit="1" customWidth="1"/>
    <col min="4862" max="4862" width="15" style="891" customWidth="1"/>
    <col min="4863" max="4863" width="14.85546875" style="891" customWidth="1"/>
    <col min="4864" max="4864" width="8.5703125" style="891" customWidth="1"/>
    <col min="4865" max="5115" width="8.85546875" style="891"/>
    <col min="5116" max="5116" width="6.42578125" style="891" customWidth="1"/>
    <col min="5117" max="5117" width="72.42578125" style="891" bestFit="1" customWidth="1"/>
    <col min="5118" max="5118" width="15" style="891" customWidth="1"/>
    <col min="5119" max="5119" width="14.85546875" style="891" customWidth="1"/>
    <col min="5120" max="5120" width="8.5703125" style="891" customWidth="1"/>
    <col min="5121" max="5371" width="8.85546875" style="891"/>
    <col min="5372" max="5372" width="6.42578125" style="891" customWidth="1"/>
    <col min="5373" max="5373" width="72.42578125" style="891" bestFit="1" customWidth="1"/>
    <col min="5374" max="5374" width="15" style="891" customWidth="1"/>
    <col min="5375" max="5375" width="14.85546875" style="891" customWidth="1"/>
    <col min="5376" max="5376" width="8.5703125" style="891" customWidth="1"/>
    <col min="5377" max="5627" width="8.85546875" style="891"/>
    <col min="5628" max="5628" width="6.42578125" style="891" customWidth="1"/>
    <col min="5629" max="5629" width="72.42578125" style="891" bestFit="1" customWidth="1"/>
    <col min="5630" max="5630" width="15" style="891" customWidth="1"/>
    <col min="5631" max="5631" width="14.85546875" style="891" customWidth="1"/>
    <col min="5632" max="5632" width="8.5703125" style="891" customWidth="1"/>
    <col min="5633" max="5883" width="8.85546875" style="891"/>
    <col min="5884" max="5884" width="6.42578125" style="891" customWidth="1"/>
    <col min="5885" max="5885" width="72.42578125" style="891" bestFit="1" customWidth="1"/>
    <col min="5886" max="5886" width="15" style="891" customWidth="1"/>
    <col min="5887" max="5887" width="14.85546875" style="891" customWidth="1"/>
    <col min="5888" max="5888" width="8.5703125" style="891" customWidth="1"/>
    <col min="5889" max="6139" width="8.85546875" style="891"/>
    <col min="6140" max="6140" width="6.42578125" style="891" customWidth="1"/>
    <col min="6141" max="6141" width="72.42578125" style="891" bestFit="1" customWidth="1"/>
    <col min="6142" max="6142" width="15" style="891" customWidth="1"/>
    <col min="6143" max="6143" width="14.85546875" style="891" customWidth="1"/>
    <col min="6144" max="6144" width="8.5703125" style="891" customWidth="1"/>
    <col min="6145" max="6395" width="8.85546875" style="891"/>
    <col min="6396" max="6396" width="6.42578125" style="891" customWidth="1"/>
    <col min="6397" max="6397" width="72.42578125" style="891" bestFit="1" customWidth="1"/>
    <col min="6398" max="6398" width="15" style="891" customWidth="1"/>
    <col min="6399" max="6399" width="14.85546875" style="891" customWidth="1"/>
    <col min="6400" max="6400" width="8.5703125" style="891" customWidth="1"/>
    <col min="6401" max="6651" width="8.85546875" style="891"/>
    <col min="6652" max="6652" width="6.42578125" style="891" customWidth="1"/>
    <col min="6653" max="6653" width="72.42578125" style="891" bestFit="1" customWidth="1"/>
    <col min="6654" max="6654" width="15" style="891" customWidth="1"/>
    <col min="6655" max="6655" width="14.85546875" style="891" customWidth="1"/>
    <col min="6656" max="6656" width="8.5703125" style="891" customWidth="1"/>
    <col min="6657" max="6907" width="8.85546875" style="891"/>
    <col min="6908" max="6908" width="6.42578125" style="891" customWidth="1"/>
    <col min="6909" max="6909" width="72.42578125" style="891" bestFit="1" customWidth="1"/>
    <col min="6910" max="6910" width="15" style="891" customWidth="1"/>
    <col min="6911" max="6911" width="14.85546875" style="891" customWidth="1"/>
    <col min="6912" max="6912" width="8.5703125" style="891" customWidth="1"/>
    <col min="6913" max="7163" width="8.85546875" style="891"/>
    <col min="7164" max="7164" width="6.42578125" style="891" customWidth="1"/>
    <col min="7165" max="7165" width="72.42578125" style="891" bestFit="1" customWidth="1"/>
    <col min="7166" max="7166" width="15" style="891" customWidth="1"/>
    <col min="7167" max="7167" width="14.85546875" style="891" customWidth="1"/>
    <col min="7168" max="7168" width="8.5703125" style="891" customWidth="1"/>
    <col min="7169" max="7419" width="8.85546875" style="891"/>
    <col min="7420" max="7420" width="6.42578125" style="891" customWidth="1"/>
    <col min="7421" max="7421" width="72.42578125" style="891" bestFit="1" customWidth="1"/>
    <col min="7422" max="7422" width="15" style="891" customWidth="1"/>
    <col min="7423" max="7423" width="14.85546875" style="891" customWidth="1"/>
    <col min="7424" max="7424" width="8.5703125" style="891" customWidth="1"/>
    <col min="7425" max="7675" width="8.85546875" style="891"/>
    <col min="7676" max="7676" width="6.42578125" style="891" customWidth="1"/>
    <col min="7677" max="7677" width="72.42578125" style="891" bestFit="1" customWidth="1"/>
    <col min="7678" max="7678" width="15" style="891" customWidth="1"/>
    <col min="7679" max="7679" width="14.85546875" style="891" customWidth="1"/>
    <col min="7680" max="7680" width="8.5703125" style="891" customWidth="1"/>
    <col min="7681" max="7931" width="8.85546875" style="891"/>
    <col min="7932" max="7932" width="6.42578125" style="891" customWidth="1"/>
    <col min="7933" max="7933" width="72.42578125" style="891" bestFit="1" customWidth="1"/>
    <col min="7934" max="7934" width="15" style="891" customWidth="1"/>
    <col min="7935" max="7935" width="14.85546875" style="891" customWidth="1"/>
    <col min="7936" max="7936" width="8.5703125" style="891" customWidth="1"/>
    <col min="7937" max="8187" width="8.85546875" style="891"/>
    <col min="8188" max="8188" width="6.42578125" style="891" customWidth="1"/>
    <col min="8189" max="8189" width="72.42578125" style="891" bestFit="1" customWidth="1"/>
    <col min="8190" max="8190" width="15" style="891" customWidth="1"/>
    <col min="8191" max="8191" width="14.85546875" style="891" customWidth="1"/>
    <col min="8192" max="8192" width="8.5703125" style="891" customWidth="1"/>
    <col min="8193" max="8443" width="8.85546875" style="891"/>
    <col min="8444" max="8444" width="6.42578125" style="891" customWidth="1"/>
    <col min="8445" max="8445" width="72.42578125" style="891" bestFit="1" customWidth="1"/>
    <col min="8446" max="8446" width="15" style="891" customWidth="1"/>
    <col min="8447" max="8447" width="14.85546875" style="891" customWidth="1"/>
    <col min="8448" max="8448" width="8.5703125" style="891" customWidth="1"/>
    <col min="8449" max="8699" width="8.85546875" style="891"/>
    <col min="8700" max="8700" width="6.42578125" style="891" customWidth="1"/>
    <col min="8701" max="8701" width="72.42578125" style="891" bestFit="1" customWidth="1"/>
    <col min="8702" max="8702" width="15" style="891" customWidth="1"/>
    <col min="8703" max="8703" width="14.85546875" style="891" customWidth="1"/>
    <col min="8704" max="8704" width="8.5703125" style="891" customWidth="1"/>
    <col min="8705" max="8955" width="8.85546875" style="891"/>
    <col min="8956" max="8956" width="6.42578125" style="891" customWidth="1"/>
    <col min="8957" max="8957" width="72.42578125" style="891" bestFit="1" customWidth="1"/>
    <col min="8958" max="8958" width="15" style="891" customWidth="1"/>
    <col min="8959" max="8959" width="14.85546875" style="891" customWidth="1"/>
    <col min="8960" max="8960" width="8.5703125" style="891" customWidth="1"/>
    <col min="8961" max="9211" width="8.85546875" style="891"/>
    <col min="9212" max="9212" width="6.42578125" style="891" customWidth="1"/>
    <col min="9213" max="9213" width="72.42578125" style="891" bestFit="1" customWidth="1"/>
    <col min="9214" max="9214" width="15" style="891" customWidth="1"/>
    <col min="9215" max="9215" width="14.85546875" style="891" customWidth="1"/>
    <col min="9216" max="9216" width="8.5703125" style="891" customWidth="1"/>
    <col min="9217" max="9467" width="8.85546875" style="891"/>
    <col min="9468" max="9468" width="6.42578125" style="891" customWidth="1"/>
    <col min="9469" max="9469" width="72.42578125" style="891" bestFit="1" customWidth="1"/>
    <col min="9470" max="9470" width="15" style="891" customWidth="1"/>
    <col min="9471" max="9471" width="14.85546875" style="891" customWidth="1"/>
    <col min="9472" max="9472" width="8.5703125" style="891" customWidth="1"/>
    <col min="9473" max="9723" width="8.85546875" style="891"/>
    <col min="9724" max="9724" width="6.42578125" style="891" customWidth="1"/>
    <col min="9725" max="9725" width="72.42578125" style="891" bestFit="1" customWidth="1"/>
    <col min="9726" max="9726" width="15" style="891" customWidth="1"/>
    <col min="9727" max="9727" width="14.85546875" style="891" customWidth="1"/>
    <col min="9728" max="9728" width="8.5703125" style="891" customWidth="1"/>
    <col min="9729" max="9979" width="8.85546875" style="891"/>
    <col min="9980" max="9980" width="6.42578125" style="891" customWidth="1"/>
    <col min="9981" max="9981" width="72.42578125" style="891" bestFit="1" customWidth="1"/>
    <col min="9982" max="9982" width="15" style="891" customWidth="1"/>
    <col min="9983" max="9983" width="14.85546875" style="891" customWidth="1"/>
    <col min="9984" max="9984" width="8.5703125" style="891" customWidth="1"/>
    <col min="9985" max="10235" width="8.85546875" style="891"/>
    <col min="10236" max="10236" width="6.42578125" style="891" customWidth="1"/>
    <col min="10237" max="10237" width="72.42578125" style="891" bestFit="1" customWidth="1"/>
    <col min="10238" max="10238" width="15" style="891" customWidth="1"/>
    <col min="10239" max="10239" width="14.85546875" style="891" customWidth="1"/>
    <col min="10240" max="10240" width="8.5703125" style="891" customWidth="1"/>
    <col min="10241" max="10491" width="8.85546875" style="891"/>
    <col min="10492" max="10492" width="6.42578125" style="891" customWidth="1"/>
    <col min="10493" max="10493" width="72.42578125" style="891" bestFit="1" customWidth="1"/>
    <col min="10494" max="10494" width="15" style="891" customWidth="1"/>
    <col min="10495" max="10495" width="14.85546875" style="891" customWidth="1"/>
    <col min="10496" max="10496" width="8.5703125" style="891" customWidth="1"/>
    <col min="10497" max="10747" width="8.85546875" style="891"/>
    <col min="10748" max="10748" width="6.42578125" style="891" customWidth="1"/>
    <col min="10749" max="10749" width="72.42578125" style="891" bestFit="1" customWidth="1"/>
    <col min="10750" max="10750" width="15" style="891" customWidth="1"/>
    <col min="10751" max="10751" width="14.85546875" style="891" customWidth="1"/>
    <col min="10752" max="10752" width="8.5703125" style="891" customWidth="1"/>
    <col min="10753" max="11003" width="8.85546875" style="891"/>
    <col min="11004" max="11004" width="6.42578125" style="891" customWidth="1"/>
    <col min="11005" max="11005" width="72.42578125" style="891" bestFit="1" customWidth="1"/>
    <col min="11006" max="11006" width="15" style="891" customWidth="1"/>
    <col min="11007" max="11007" width="14.85546875" style="891" customWidth="1"/>
    <col min="11008" max="11008" width="8.5703125" style="891" customWidth="1"/>
    <col min="11009" max="11259" width="8.85546875" style="891"/>
    <col min="11260" max="11260" width="6.42578125" style="891" customWidth="1"/>
    <col min="11261" max="11261" width="72.42578125" style="891" bestFit="1" customWidth="1"/>
    <col min="11262" max="11262" width="15" style="891" customWidth="1"/>
    <col min="11263" max="11263" width="14.85546875" style="891" customWidth="1"/>
    <col min="11264" max="11264" width="8.5703125" style="891" customWidth="1"/>
    <col min="11265" max="11515" width="8.85546875" style="891"/>
    <col min="11516" max="11516" width="6.42578125" style="891" customWidth="1"/>
    <col min="11517" max="11517" width="72.42578125" style="891" bestFit="1" customWidth="1"/>
    <col min="11518" max="11518" width="15" style="891" customWidth="1"/>
    <col min="11519" max="11519" width="14.85546875" style="891" customWidth="1"/>
    <col min="11520" max="11520" width="8.5703125" style="891" customWidth="1"/>
    <col min="11521" max="11771" width="8.85546875" style="891"/>
    <col min="11772" max="11772" width="6.42578125" style="891" customWidth="1"/>
    <col min="11773" max="11773" width="72.42578125" style="891" bestFit="1" customWidth="1"/>
    <col min="11774" max="11774" width="15" style="891" customWidth="1"/>
    <col min="11775" max="11775" width="14.85546875" style="891" customWidth="1"/>
    <col min="11776" max="11776" width="8.5703125" style="891" customWidth="1"/>
    <col min="11777" max="12027" width="8.85546875" style="891"/>
    <col min="12028" max="12028" width="6.42578125" style="891" customWidth="1"/>
    <col min="12029" max="12029" width="72.42578125" style="891" bestFit="1" customWidth="1"/>
    <col min="12030" max="12030" width="15" style="891" customWidth="1"/>
    <col min="12031" max="12031" width="14.85546875" style="891" customWidth="1"/>
    <col min="12032" max="12032" width="8.5703125" style="891" customWidth="1"/>
    <col min="12033" max="12283" width="8.85546875" style="891"/>
    <col min="12284" max="12284" width="6.42578125" style="891" customWidth="1"/>
    <col min="12285" max="12285" width="72.42578125" style="891" bestFit="1" customWidth="1"/>
    <col min="12286" max="12286" width="15" style="891" customWidth="1"/>
    <col min="12287" max="12287" width="14.85546875" style="891" customWidth="1"/>
    <col min="12288" max="12288" width="8.5703125" style="891" customWidth="1"/>
    <col min="12289" max="12539" width="8.85546875" style="891"/>
    <col min="12540" max="12540" width="6.42578125" style="891" customWidth="1"/>
    <col min="12541" max="12541" width="72.42578125" style="891" bestFit="1" customWidth="1"/>
    <col min="12542" max="12542" width="15" style="891" customWidth="1"/>
    <col min="12543" max="12543" width="14.85546875" style="891" customWidth="1"/>
    <col min="12544" max="12544" width="8.5703125" style="891" customWidth="1"/>
    <col min="12545" max="12795" width="8.85546875" style="891"/>
    <col min="12796" max="12796" width="6.42578125" style="891" customWidth="1"/>
    <col min="12797" max="12797" width="72.42578125" style="891" bestFit="1" customWidth="1"/>
    <col min="12798" max="12798" width="15" style="891" customWidth="1"/>
    <col min="12799" max="12799" width="14.85546875" style="891" customWidth="1"/>
    <col min="12800" max="12800" width="8.5703125" style="891" customWidth="1"/>
    <col min="12801" max="13051" width="8.85546875" style="891"/>
    <col min="13052" max="13052" width="6.42578125" style="891" customWidth="1"/>
    <col min="13053" max="13053" width="72.42578125" style="891" bestFit="1" customWidth="1"/>
    <col min="13054" max="13054" width="15" style="891" customWidth="1"/>
    <col min="13055" max="13055" width="14.85546875" style="891" customWidth="1"/>
    <col min="13056" max="13056" width="8.5703125" style="891" customWidth="1"/>
    <col min="13057" max="13307" width="8.85546875" style="891"/>
    <col min="13308" max="13308" width="6.42578125" style="891" customWidth="1"/>
    <col min="13309" max="13309" width="72.42578125" style="891" bestFit="1" customWidth="1"/>
    <col min="13310" max="13310" width="15" style="891" customWidth="1"/>
    <col min="13311" max="13311" width="14.85546875" style="891" customWidth="1"/>
    <col min="13312" max="13312" width="8.5703125" style="891" customWidth="1"/>
    <col min="13313" max="13563" width="8.85546875" style="891"/>
    <col min="13564" max="13564" width="6.42578125" style="891" customWidth="1"/>
    <col min="13565" max="13565" width="72.42578125" style="891" bestFit="1" customWidth="1"/>
    <col min="13566" max="13566" width="15" style="891" customWidth="1"/>
    <col min="13567" max="13567" width="14.85546875" style="891" customWidth="1"/>
    <col min="13568" max="13568" width="8.5703125" style="891" customWidth="1"/>
    <col min="13569" max="13819" width="8.85546875" style="891"/>
    <col min="13820" max="13820" width="6.42578125" style="891" customWidth="1"/>
    <col min="13821" max="13821" width="72.42578125" style="891" bestFit="1" customWidth="1"/>
    <col min="13822" max="13822" width="15" style="891" customWidth="1"/>
    <col min="13823" max="13823" width="14.85546875" style="891" customWidth="1"/>
    <col min="13824" max="13824" width="8.5703125" style="891" customWidth="1"/>
    <col min="13825" max="14075" width="8.85546875" style="891"/>
    <col min="14076" max="14076" width="6.42578125" style="891" customWidth="1"/>
    <col min="14077" max="14077" width="72.42578125" style="891" bestFit="1" customWidth="1"/>
    <col min="14078" max="14078" width="15" style="891" customWidth="1"/>
    <col min="14079" max="14079" width="14.85546875" style="891" customWidth="1"/>
    <col min="14080" max="14080" width="8.5703125" style="891" customWidth="1"/>
    <col min="14081" max="14331" width="8.85546875" style="891"/>
    <col min="14332" max="14332" width="6.42578125" style="891" customWidth="1"/>
    <col min="14333" max="14333" width="72.42578125" style="891" bestFit="1" customWidth="1"/>
    <col min="14334" max="14334" width="15" style="891" customWidth="1"/>
    <col min="14335" max="14335" width="14.85546875" style="891" customWidth="1"/>
    <col min="14336" max="14336" width="8.5703125" style="891" customWidth="1"/>
    <col min="14337" max="14587" width="8.85546875" style="891"/>
    <col min="14588" max="14588" width="6.42578125" style="891" customWidth="1"/>
    <col min="14589" max="14589" width="72.42578125" style="891" bestFit="1" customWidth="1"/>
    <col min="14590" max="14590" width="15" style="891" customWidth="1"/>
    <col min="14591" max="14591" width="14.85546875" style="891" customWidth="1"/>
    <col min="14592" max="14592" width="8.5703125" style="891" customWidth="1"/>
    <col min="14593" max="14843" width="8.85546875" style="891"/>
    <col min="14844" max="14844" width="6.42578125" style="891" customWidth="1"/>
    <col min="14845" max="14845" width="72.42578125" style="891" bestFit="1" customWidth="1"/>
    <col min="14846" max="14846" width="15" style="891" customWidth="1"/>
    <col min="14847" max="14847" width="14.85546875" style="891" customWidth="1"/>
    <col min="14848" max="14848" width="8.5703125" style="891" customWidth="1"/>
    <col min="14849" max="15099" width="8.85546875" style="891"/>
    <col min="15100" max="15100" width="6.42578125" style="891" customWidth="1"/>
    <col min="15101" max="15101" width="72.42578125" style="891" bestFit="1" customWidth="1"/>
    <col min="15102" max="15102" width="15" style="891" customWidth="1"/>
    <col min="15103" max="15103" width="14.85546875" style="891" customWidth="1"/>
    <col min="15104" max="15104" width="8.5703125" style="891" customWidth="1"/>
    <col min="15105" max="15355" width="8.85546875" style="891"/>
    <col min="15356" max="15356" width="6.42578125" style="891" customWidth="1"/>
    <col min="15357" max="15357" width="72.42578125" style="891" bestFit="1" customWidth="1"/>
    <col min="15358" max="15358" width="15" style="891" customWidth="1"/>
    <col min="15359" max="15359" width="14.85546875" style="891" customWidth="1"/>
    <col min="15360" max="15360" width="8.5703125" style="891" customWidth="1"/>
    <col min="15361" max="15611" width="8.85546875" style="891"/>
    <col min="15612" max="15612" width="6.42578125" style="891" customWidth="1"/>
    <col min="15613" max="15613" width="72.42578125" style="891" bestFit="1" customWidth="1"/>
    <col min="15614" max="15614" width="15" style="891" customWidth="1"/>
    <col min="15615" max="15615" width="14.85546875" style="891" customWidth="1"/>
    <col min="15616" max="15616" width="8.5703125" style="891" customWidth="1"/>
    <col min="15617" max="15867" width="8.85546875" style="891"/>
    <col min="15868" max="15868" width="6.42578125" style="891" customWidth="1"/>
    <col min="15869" max="15869" width="72.42578125" style="891" bestFit="1" customWidth="1"/>
    <col min="15870" max="15870" width="15" style="891" customWidth="1"/>
    <col min="15871" max="15871" width="14.85546875" style="891" customWidth="1"/>
    <col min="15872" max="15872" width="8.5703125" style="891" customWidth="1"/>
    <col min="15873" max="16123" width="8.85546875" style="891"/>
    <col min="16124" max="16124" width="6.42578125" style="891" customWidth="1"/>
    <col min="16125" max="16125" width="72.42578125" style="891" bestFit="1" customWidth="1"/>
    <col min="16126" max="16126" width="15" style="891" customWidth="1"/>
    <col min="16127" max="16127" width="14.85546875" style="891" customWidth="1"/>
    <col min="16128" max="16128" width="8.5703125" style="891" customWidth="1"/>
    <col min="16129" max="16384" width="8.85546875" style="891"/>
  </cols>
  <sheetData>
    <row r="1" spans="1:14">
      <c r="A1" s="1055" t="s">
        <v>4751</v>
      </c>
      <c r="B1" s="1055"/>
      <c r="C1" s="954" t="s">
        <v>4878</v>
      </c>
      <c r="D1" s="954" t="s">
        <v>4866</v>
      </c>
    </row>
    <row r="2" spans="1:14">
      <c r="A2" s="892"/>
      <c r="B2" s="892"/>
      <c r="C2" s="955"/>
      <c r="D2" s="956"/>
      <c r="E2" s="891"/>
    </row>
    <row r="3" spans="1:14">
      <c r="A3" s="893" t="s">
        <v>4752</v>
      </c>
      <c r="B3" s="894"/>
      <c r="C3" s="957"/>
      <c r="D3" s="958"/>
      <c r="E3" s="891"/>
    </row>
    <row r="4" spans="1:14">
      <c r="A4" s="895" t="s">
        <v>4753</v>
      </c>
      <c r="B4" s="895" t="s">
        <v>4754</v>
      </c>
      <c r="C4" s="956">
        <f>+'Schema SP'!I122</f>
        <v>0</v>
      </c>
      <c r="D4" s="959">
        <v>15600</v>
      </c>
      <c r="E4" s="891"/>
    </row>
    <row r="5" spans="1:14">
      <c r="A5" s="895"/>
      <c r="B5" s="896" t="s">
        <v>4755</v>
      </c>
      <c r="C5" s="960"/>
      <c r="D5" s="961"/>
      <c r="E5" s="891"/>
    </row>
    <row r="6" spans="1:14">
      <c r="A6" s="897" t="s">
        <v>4753</v>
      </c>
      <c r="B6" s="898" t="s">
        <v>4756</v>
      </c>
      <c r="C6" s="962">
        <f>+'Alimentazione CE Costi'!K849+'Alimentazione CE Costi'!K850</f>
        <v>1328310.4000000001</v>
      </c>
      <c r="D6" s="962">
        <v>1259667.47</v>
      </c>
      <c r="E6" s="891"/>
    </row>
    <row r="7" spans="1:14">
      <c r="A7" s="897" t="s">
        <v>4753</v>
      </c>
      <c r="B7" s="898" t="s">
        <v>4757</v>
      </c>
      <c r="C7" s="962">
        <f>+'Alimentazione CE Costi'!K852+'Alimentazione CE Costi'!K853+'Alimentazione CE Costi'!K854+'Alimentazione CE Costi'!K855+'Alimentazione CE Costi'!K856</f>
        <v>2248194.12</v>
      </c>
      <c r="D7" s="962">
        <v>2246740.3899999997</v>
      </c>
      <c r="E7" s="891"/>
    </row>
    <row r="8" spans="1:14">
      <c r="A8" s="897" t="s">
        <v>4753</v>
      </c>
      <c r="B8" s="898" t="s">
        <v>4758</v>
      </c>
      <c r="C8" s="962">
        <f>+'Alimentazione CE Costi'!K839+'Alimentazione CE Costi'!K840+'Alimentazione CE Costi'!K841+'Alimentazione CE Costi'!K842+'Alimentazione CE Costi'!K843+'Alimentazione CE Costi'!K844+'Alimentazione CE Costi'!K845+'Alimentazione CE Costi'!K846</f>
        <v>13125.37</v>
      </c>
      <c r="D8" s="962">
        <v>14514.34</v>
      </c>
      <c r="E8" s="891"/>
    </row>
    <row r="9" spans="1:14" ht="13.35" customHeight="1">
      <c r="A9" s="893" t="s">
        <v>4759</v>
      </c>
      <c r="B9" s="899"/>
      <c r="C9" s="963">
        <f>SUM(C6:C8)</f>
        <v>3589629.8900000006</v>
      </c>
      <c r="D9" s="963">
        <v>3520922.1999999993</v>
      </c>
      <c r="E9" s="891"/>
      <c r="F9"/>
    </row>
    <row r="10" spans="1:14">
      <c r="A10" s="897" t="s">
        <v>4760</v>
      </c>
      <c r="B10" s="898" t="s">
        <v>4761</v>
      </c>
      <c r="C10" s="962">
        <f>-(+'Alimentazione CE Ricavi'!K50+'Alimentazione CE Ricavi'!K51+'Alimentazione CE Ricavi'!K209+'Alimentazione CE Ricavi'!K210+'Alimentazione CE Ricavi'!K211+'Alimentazione CE Ricavi'!K212+'Alimentazione CE Ricavi'!K213+'Alimentazione CE Ricavi'!K214+'Alimentazione CE Ricavi'!K215)</f>
        <v>-3509976.12</v>
      </c>
      <c r="D10" s="962">
        <v>-3404577.9299999997</v>
      </c>
      <c r="E10" s="891"/>
      <c r="F10"/>
    </row>
    <row r="11" spans="1:14">
      <c r="A11" s="897" t="s">
        <v>4760</v>
      </c>
      <c r="B11" s="898" t="s">
        <v>4762</v>
      </c>
      <c r="C11" s="962">
        <f>-(+'Alimentazione CE Ricavi'!K53+'Alimentazione CE Ricavi'!K54+'Alimentazione CE Ricavi'!K55+'Alimentazione CE Ricavi'!K56+'Alimentazione CE Ricavi'!K57)</f>
        <v>-8705743.9400000013</v>
      </c>
      <c r="D11" s="962">
        <v>-7519995.6199999992</v>
      </c>
      <c r="E11" s="891"/>
      <c r="F11"/>
    </row>
    <row r="12" spans="1:14">
      <c r="A12" s="893" t="s">
        <v>4763</v>
      </c>
      <c r="B12" s="899"/>
      <c r="C12" s="963">
        <f>SUM(C10:C11)</f>
        <v>-12215720.060000002</v>
      </c>
      <c r="D12" s="963">
        <v>-10924573.549999999</v>
      </c>
      <c r="E12" s="891"/>
      <c r="F12"/>
      <c r="G12"/>
      <c r="H12"/>
      <c r="I12"/>
      <c r="J12"/>
      <c r="K12"/>
      <c r="L12"/>
      <c r="M12"/>
      <c r="N12"/>
    </row>
    <row r="13" spans="1:14">
      <c r="A13" s="897" t="s">
        <v>4753</v>
      </c>
      <c r="B13" s="897" t="s">
        <v>4764</v>
      </c>
      <c r="C13" s="962">
        <f>+'Alimentazione CE Costi'!K950+'Alimentazione CE Costi'!K951</f>
        <v>0</v>
      </c>
      <c r="D13" s="962">
        <v>0</v>
      </c>
      <c r="E13" s="891"/>
      <c r="F13"/>
      <c r="G13"/>
      <c r="H13"/>
      <c r="I13"/>
      <c r="J13"/>
      <c r="K13"/>
      <c r="L13"/>
      <c r="M13"/>
      <c r="N13"/>
    </row>
    <row r="14" spans="1:14">
      <c r="A14" s="897" t="s">
        <v>4760</v>
      </c>
      <c r="B14" s="898" t="s">
        <v>4765</v>
      </c>
      <c r="C14" s="964">
        <f>'Alimentazione SP P'!I153-'Alimentazione SP P'!J153-'Rendiconto finanziario'!C13</f>
        <v>0</v>
      </c>
      <c r="D14" s="964">
        <v>0</v>
      </c>
      <c r="E14" s="891"/>
      <c r="F14"/>
      <c r="G14"/>
      <c r="H14"/>
      <c r="I14"/>
      <c r="J14"/>
      <c r="K14"/>
      <c r="L14"/>
      <c r="M14"/>
      <c r="N14"/>
    </row>
    <row r="15" spans="1:14">
      <c r="A15" s="897" t="s">
        <v>4753</v>
      </c>
      <c r="B15" s="897" t="s">
        <v>4766</v>
      </c>
      <c r="C15" s="965">
        <f>+'Alimentazione CE Costi'!K486+'Alimentazione CE Costi'!K499+'Alimentazione CE Costi'!K512+'Alimentazione CE Costi'!K522+'Alimentazione CE Costi'!K537+'Alimentazione CE Costi'!K550+'Alimentazione CE Costi'!K563+'Alimentazione CE Costi'!K576+'Alimentazione CE Costi'!K589+'Alimentazione CE Costi'!K602+'Alimentazione CE Costi'!K615+'Alimentazione CE Costi'!K625+'Alimentazione CE Costi'!K640+'Alimentazione CE Costi'!K653+'Alimentazione CE Costi'!K666+'Alimentazione CE Costi'!K676+'Alimentazione CE Costi'!K686+'Alimentazione CE Costi'!K696+'Alimentazione CE Costi'!K712+'Alimentazione CE Costi'!K725+'Alimentazione CE Costi'!K738+'Alimentazione CE Costi'!K751+'Alimentazione CE Costi'!K765+'Alimentazione CE Costi'!K775+'Alimentazione CE Costi'!K790+'Alimentazione CE Costi'!K803</f>
        <v>0</v>
      </c>
      <c r="D15" s="965"/>
      <c r="E15" s="891"/>
      <c r="F15"/>
      <c r="G15"/>
      <c r="H15"/>
      <c r="I15"/>
      <c r="J15"/>
      <c r="K15"/>
      <c r="L15"/>
      <c r="M15"/>
      <c r="N15"/>
    </row>
    <row r="16" spans="1:14">
      <c r="A16" s="897" t="s">
        <v>4760</v>
      </c>
      <c r="B16" s="898" t="s">
        <v>4767</v>
      </c>
      <c r="C16" s="964">
        <f>+'Alimentazione SP P'!I154-'Alimentazione SP P'!J154-'Rendiconto finanziario'!C15</f>
        <v>0</v>
      </c>
      <c r="D16" s="964"/>
      <c r="E16" s="891"/>
      <c r="F16"/>
      <c r="G16"/>
      <c r="H16"/>
      <c r="I16"/>
      <c r="J16"/>
      <c r="K16"/>
      <c r="L16"/>
      <c r="M16"/>
      <c r="N16"/>
    </row>
    <row r="17" spans="1:14">
      <c r="A17" s="893" t="s">
        <v>4768</v>
      </c>
      <c r="B17" s="899"/>
      <c r="C17" s="963">
        <f>SUM(C13:C16)</f>
        <v>0</v>
      </c>
      <c r="D17" s="963">
        <v>0</v>
      </c>
      <c r="E17" s="891"/>
      <c r="F17"/>
      <c r="G17"/>
      <c r="H17"/>
      <c r="I17"/>
      <c r="J17"/>
      <c r="K17"/>
      <c r="L17"/>
      <c r="M17"/>
      <c r="N17"/>
    </row>
    <row r="18" spans="1:14">
      <c r="A18" s="897" t="s">
        <v>4769</v>
      </c>
      <c r="B18" s="898" t="s">
        <v>4770</v>
      </c>
      <c r="C18" s="962">
        <v>0</v>
      </c>
      <c r="D18" s="962"/>
      <c r="F18"/>
      <c r="G18"/>
      <c r="H18"/>
      <c r="I18"/>
      <c r="J18"/>
      <c r="K18"/>
      <c r="L18"/>
      <c r="M18"/>
      <c r="N18"/>
    </row>
    <row r="19" spans="1:14">
      <c r="A19" s="897" t="s">
        <v>4753</v>
      </c>
      <c r="B19" s="897" t="s">
        <v>4771</v>
      </c>
      <c r="C19" s="962">
        <f>+SUM('Alimentazione CE Costi'!K860:K918)</f>
        <v>47470.42</v>
      </c>
      <c r="D19" s="962">
        <v>4012</v>
      </c>
      <c r="F19"/>
      <c r="G19"/>
      <c r="H19"/>
      <c r="I19"/>
      <c r="J19"/>
      <c r="K19"/>
      <c r="L19"/>
      <c r="M19"/>
      <c r="N19"/>
    </row>
    <row r="20" spans="1:14">
      <c r="A20" s="902" t="s">
        <v>4760</v>
      </c>
      <c r="B20" s="902" t="s">
        <v>4772</v>
      </c>
      <c r="C20" s="962">
        <f>SUM('Alimentazione SP P'!I49:I110)-SUM('Alimentazione SP P'!J49:J110)-'Rendiconto finanziario'!C19</f>
        <v>-12990.379999999961</v>
      </c>
      <c r="D20" s="962">
        <v>-238783</v>
      </c>
      <c r="F20"/>
      <c r="G20"/>
      <c r="H20"/>
      <c r="I20"/>
      <c r="J20"/>
      <c r="K20"/>
      <c r="L20"/>
      <c r="M20"/>
      <c r="N20"/>
    </row>
    <row r="21" spans="1:14">
      <c r="A21" s="893" t="s">
        <v>4773</v>
      </c>
      <c r="B21" s="899"/>
      <c r="C21" s="963">
        <f>SUM(C18:C20)</f>
        <v>34480.040000000037</v>
      </c>
      <c r="D21" s="963">
        <v>-234771</v>
      </c>
      <c r="E21" s="900"/>
      <c r="F21"/>
      <c r="G21"/>
      <c r="H21"/>
      <c r="I21"/>
      <c r="J21"/>
      <c r="K21"/>
      <c r="L21"/>
      <c r="M21"/>
      <c r="N21"/>
    </row>
    <row r="22" spans="1:14">
      <c r="A22" s="897" t="s">
        <v>4753</v>
      </c>
      <c r="B22" s="897" t="s">
        <v>4774</v>
      </c>
      <c r="C22" s="962">
        <f>+'Alimentazione CE Costi'!K1022+SUM('Alimentazione CE Costi'!K938:K971)+'Alimentazione CE Costi'!K487+'Alimentazione CE Costi'!K500+'Alimentazione CE Costi'!K513+'Alimentazione CE Costi'!K523+'Alimentazione CE Costi'!K538+'Alimentazione CE Costi'!K551+'Alimentazione CE Costi'!K564+'Alimentazione CE Costi'!K577+'Alimentazione CE Costi'!K590+'Alimentazione CE Costi'!K603+'Alimentazione CE Costi'!K616+'Alimentazione CE Costi'!K626+'Alimentazione CE Costi'!K641+'Alimentazione CE Costi'!K654+'Alimentazione CE Costi'!K667+'Alimentazione CE Costi'!K677+'Alimentazione CE Costi'!K687+'Alimentazione CE Costi'!K697+'Alimentazione CE Costi'!K713+'Alimentazione CE Costi'!K726+'Alimentazione CE Costi'!K739+'Alimentazione CE Costi'!K752+'Alimentazione CE Costi'!K766+'Alimentazione CE Costi'!K776+'Alimentazione CE Costi'!K791+'Alimentazione CE Costi'!K804</f>
        <v>8081658.1200000001</v>
      </c>
      <c r="D22" s="965">
        <v>7371241.2300000004</v>
      </c>
      <c r="E22" s="891"/>
      <c r="F22"/>
      <c r="G22"/>
      <c r="H22"/>
      <c r="I22"/>
      <c r="J22"/>
      <c r="K22"/>
      <c r="L22"/>
      <c r="M22"/>
      <c r="N22"/>
    </row>
    <row r="23" spans="1:14">
      <c r="A23" s="897" t="s">
        <v>4760</v>
      </c>
      <c r="B23" s="898" t="s">
        <v>4775</v>
      </c>
      <c r="C23" s="962">
        <f>'Schema SP'!K130-'Rendiconto finanziario'!C22-'Rendiconto finanziario'!C11</f>
        <v>-601236.1799999997</v>
      </c>
      <c r="D23" s="962">
        <v>-3257247.6100000013</v>
      </c>
      <c r="E23" s="903"/>
      <c r="F23"/>
      <c r="G23"/>
      <c r="H23"/>
      <c r="I23"/>
      <c r="J23"/>
      <c r="K23"/>
      <c r="L23"/>
      <c r="M23"/>
      <c r="N23"/>
    </row>
    <row r="24" spans="1:14">
      <c r="A24" s="893" t="s">
        <v>4776</v>
      </c>
      <c r="B24" s="899"/>
      <c r="C24" s="963">
        <f>SUM(C22:C23)</f>
        <v>7480421.9400000004</v>
      </c>
      <c r="D24" s="963">
        <v>4113993.6199999992</v>
      </c>
      <c r="E24" s="891"/>
      <c r="F24"/>
      <c r="G24"/>
      <c r="H24"/>
      <c r="I24"/>
      <c r="J24"/>
      <c r="K24"/>
      <c r="L24"/>
      <c r="M24"/>
      <c r="N24"/>
    </row>
    <row r="25" spans="1:14">
      <c r="A25" s="904" t="s">
        <v>4777</v>
      </c>
      <c r="B25" s="904"/>
      <c r="C25" s="966">
        <f>C4+C9+C12+C17+C21+C24</f>
        <v>-1111188.1900000023</v>
      </c>
      <c r="D25" s="966">
        <v>-3508828.7300000004</v>
      </c>
      <c r="E25" s="891"/>
      <c r="F25"/>
      <c r="G25"/>
      <c r="H25"/>
      <c r="I25"/>
      <c r="J25"/>
      <c r="K25"/>
      <c r="L25"/>
      <c r="M25"/>
      <c r="N25"/>
    </row>
    <row r="26" spans="1:14" ht="15">
      <c r="A26" s="905"/>
      <c r="B26" s="905"/>
      <c r="C26" s="967"/>
      <c r="D26" s="968"/>
      <c r="E26" s="891"/>
      <c r="F26"/>
      <c r="G26"/>
      <c r="H26"/>
      <c r="I26"/>
      <c r="J26"/>
      <c r="K26"/>
      <c r="L26"/>
      <c r="M26"/>
      <c r="N26"/>
    </row>
    <row r="27" spans="1:14" ht="22.5">
      <c r="A27" s="897" t="s">
        <v>4778</v>
      </c>
      <c r="B27" s="906" t="s">
        <v>4779</v>
      </c>
      <c r="C27" s="962">
        <f>'Schema SP'!K139</f>
        <v>41219</v>
      </c>
      <c r="D27" s="962">
        <v>15626</v>
      </c>
      <c r="E27" s="891"/>
      <c r="F27"/>
      <c r="G27"/>
      <c r="H27"/>
      <c r="I27"/>
      <c r="J27"/>
      <c r="K27"/>
      <c r="L27"/>
      <c r="M27"/>
      <c r="N27"/>
    </row>
    <row r="28" spans="1:14">
      <c r="A28" s="897" t="s">
        <v>4778</v>
      </c>
      <c r="B28" s="907" t="s">
        <v>4780</v>
      </c>
      <c r="C28" s="962">
        <f>'Schema SP'!K140</f>
        <v>2750</v>
      </c>
      <c r="D28" s="962">
        <v>0</v>
      </c>
      <c r="E28" s="891"/>
      <c r="F28"/>
      <c r="G28"/>
      <c r="H28"/>
      <c r="I28"/>
      <c r="J28"/>
      <c r="K28"/>
      <c r="L28"/>
      <c r="M28"/>
      <c r="N28"/>
    </row>
    <row r="29" spans="1:14">
      <c r="A29" s="897" t="s">
        <v>4778</v>
      </c>
      <c r="B29" s="907" t="s">
        <v>4781</v>
      </c>
      <c r="C29" s="962">
        <f>'Schema SP'!K141</f>
        <v>-6453121</v>
      </c>
      <c r="D29" s="962">
        <v>64553</v>
      </c>
      <c r="E29" s="891"/>
      <c r="F29"/>
      <c r="G29"/>
      <c r="H29"/>
      <c r="I29"/>
      <c r="J29"/>
      <c r="K29"/>
      <c r="L29"/>
      <c r="M29"/>
      <c r="N29"/>
    </row>
    <row r="30" spans="1:14">
      <c r="A30" s="897" t="s">
        <v>4778</v>
      </c>
      <c r="B30" s="907" t="s">
        <v>4782</v>
      </c>
      <c r="C30" s="964"/>
      <c r="D30" s="964"/>
      <c r="F30"/>
      <c r="G30"/>
      <c r="H30"/>
      <c r="I30"/>
      <c r="J30"/>
      <c r="K30"/>
      <c r="L30"/>
      <c r="M30"/>
      <c r="N30"/>
    </row>
    <row r="31" spans="1:14">
      <c r="A31" s="897" t="s">
        <v>4778</v>
      </c>
      <c r="B31" s="907" t="s">
        <v>4783</v>
      </c>
      <c r="C31" s="962">
        <f>'Schema SP'!K149-'Rendiconto finanziario'!C94</f>
        <v>-1327281</v>
      </c>
      <c r="D31" s="962">
        <v>-1663460</v>
      </c>
      <c r="E31" s="891"/>
      <c r="F31"/>
      <c r="G31"/>
      <c r="H31"/>
      <c r="I31"/>
      <c r="J31"/>
      <c r="K31"/>
      <c r="L31"/>
      <c r="M31"/>
      <c r="N31"/>
    </row>
    <row r="32" spans="1:14">
      <c r="A32" s="897" t="s">
        <v>4778</v>
      </c>
      <c r="B32" s="907" t="s">
        <v>4784</v>
      </c>
      <c r="C32" s="962">
        <f>'Schema SP'!K151</f>
        <v>199778</v>
      </c>
      <c r="D32" s="962">
        <v>193119</v>
      </c>
      <c r="E32" s="891"/>
      <c r="F32"/>
      <c r="G32"/>
      <c r="H32"/>
      <c r="I32"/>
      <c r="J32"/>
      <c r="K32"/>
      <c r="L32"/>
      <c r="M32"/>
      <c r="N32"/>
    </row>
    <row r="33" spans="1:14">
      <c r="A33" s="897" t="s">
        <v>4778</v>
      </c>
      <c r="B33" s="907" t="s">
        <v>4785</v>
      </c>
      <c r="C33" s="962">
        <f>'Schema SP'!K153</f>
        <v>142442</v>
      </c>
      <c r="D33" s="962">
        <v>179135</v>
      </c>
      <c r="E33" s="891"/>
      <c r="F33"/>
      <c r="G33"/>
      <c r="H33"/>
      <c r="I33"/>
      <c r="J33"/>
      <c r="K33"/>
      <c r="L33"/>
      <c r="M33"/>
      <c r="N33"/>
    </row>
    <row r="34" spans="1:14">
      <c r="A34" s="897" t="s">
        <v>4778</v>
      </c>
      <c r="B34" s="907" t="s">
        <v>4786</v>
      </c>
      <c r="C34" s="962">
        <f>'Schema SP'!K138+'Schema SP'!K148+'Schema SP'!K152+'Schema SP'!K154-'Rendiconto finanziario'!C30</f>
        <v>619983</v>
      </c>
      <c r="D34" s="962">
        <v>1204585</v>
      </c>
    </row>
    <row r="35" spans="1:14">
      <c r="A35" s="895" t="s">
        <v>4778</v>
      </c>
      <c r="B35" s="895" t="s">
        <v>4787</v>
      </c>
      <c r="C35" s="959">
        <f>SUM(C27:C34)</f>
        <v>-6774230</v>
      </c>
      <c r="D35" s="959">
        <v>-6442</v>
      </c>
      <c r="E35" s="900"/>
      <c r="F35" s="900"/>
      <c r="G35" s="901"/>
    </row>
    <row r="36" spans="1:14">
      <c r="A36" s="895" t="s">
        <v>4778</v>
      </c>
      <c r="B36" s="895" t="s">
        <v>4788</v>
      </c>
      <c r="C36" s="956">
        <f>'Schema SP'!K157+'Schema SP'!K158</f>
        <v>-8724</v>
      </c>
      <c r="D36" s="956">
        <v>15795</v>
      </c>
      <c r="E36" s="891"/>
      <c r="F36" s="900"/>
    </row>
    <row r="37" spans="1:14">
      <c r="A37" s="897" t="s">
        <v>4778</v>
      </c>
      <c r="B37" s="907" t="s">
        <v>4789</v>
      </c>
      <c r="C37" s="962">
        <v>0</v>
      </c>
      <c r="D37" s="962">
        <v>0</v>
      </c>
    </row>
    <row r="38" spans="1:14">
      <c r="A38" s="897" t="s">
        <v>4778</v>
      </c>
      <c r="B38" s="907" t="s">
        <v>4790</v>
      </c>
      <c r="C38" s="962">
        <f>-('Schema SP'!K52-'Schema SP'!K56)-'Schema SP'!K48</f>
        <v>813597</v>
      </c>
      <c r="D38" s="962">
        <v>2871076</v>
      </c>
    </row>
    <row r="39" spans="1:14">
      <c r="A39" s="897" t="s">
        <v>4778</v>
      </c>
      <c r="B39" s="907" t="s">
        <v>4791</v>
      </c>
      <c r="C39" s="962">
        <v>0</v>
      </c>
      <c r="D39" s="962">
        <v>0</v>
      </c>
    </row>
    <row r="40" spans="1:14">
      <c r="A40" s="897" t="s">
        <v>4778</v>
      </c>
      <c r="B40" s="907" t="s">
        <v>4792</v>
      </c>
      <c r="C40" s="962">
        <v>0</v>
      </c>
      <c r="D40" s="962">
        <v>0</v>
      </c>
    </row>
    <row r="41" spans="1:14">
      <c r="A41" s="897" t="s">
        <v>4778</v>
      </c>
      <c r="B41" s="907" t="s">
        <v>4793</v>
      </c>
      <c r="C41" s="962">
        <v>0</v>
      </c>
      <c r="D41" s="962">
        <v>0</v>
      </c>
    </row>
    <row r="42" spans="1:14">
      <c r="A42" s="897" t="s">
        <v>4778</v>
      </c>
      <c r="B42" s="907" t="s">
        <v>4794</v>
      </c>
      <c r="C42" s="962">
        <v>0</v>
      </c>
      <c r="D42" s="962">
        <v>0</v>
      </c>
    </row>
    <row r="43" spans="1:14">
      <c r="A43" s="897" t="s">
        <v>4778</v>
      </c>
      <c r="B43" s="907" t="s">
        <v>4795</v>
      </c>
      <c r="C43" s="962">
        <v>0</v>
      </c>
      <c r="D43" s="962">
        <v>0</v>
      </c>
    </row>
    <row r="44" spans="1:14">
      <c r="A44" s="897"/>
      <c r="B44" s="908"/>
      <c r="C44" s="962"/>
      <c r="D44" s="962"/>
      <c r="E44" s="891"/>
    </row>
    <row r="45" spans="1:14">
      <c r="A45" s="897" t="s">
        <v>4778</v>
      </c>
      <c r="B45" s="907" t="s">
        <v>4796</v>
      </c>
      <c r="C45" s="962">
        <f>-'Schema SP'!K59</f>
        <v>-4826487</v>
      </c>
      <c r="D45" s="962">
        <v>-699979</v>
      </c>
      <c r="E45" s="891"/>
    </row>
    <row r="46" spans="1:14">
      <c r="A46" s="897" t="s">
        <v>4778</v>
      </c>
      <c r="B46" s="907" t="s">
        <v>4797</v>
      </c>
      <c r="C46" s="962">
        <f>-'Schema SP'!K71</f>
        <v>0</v>
      </c>
      <c r="D46" s="962">
        <v>0</v>
      </c>
      <c r="E46" s="891"/>
    </row>
    <row r="47" spans="1:14">
      <c r="A47" s="897" t="s">
        <v>4778</v>
      </c>
      <c r="B47" s="907" t="s">
        <v>4798</v>
      </c>
      <c r="C47" s="962">
        <f>-'Schema SP'!K72</f>
        <v>4956975</v>
      </c>
      <c r="D47" s="962">
        <v>-652400</v>
      </c>
      <c r="E47" s="891"/>
    </row>
    <row r="48" spans="1:14">
      <c r="A48" s="897" t="s">
        <v>4778</v>
      </c>
      <c r="B48" s="907" t="s">
        <v>4799</v>
      </c>
      <c r="C48" s="964"/>
      <c r="D48" s="964"/>
    </row>
    <row r="49" spans="1:7">
      <c r="A49" s="897" t="s">
        <v>4778</v>
      </c>
      <c r="B49" s="907" t="s">
        <v>4800</v>
      </c>
      <c r="C49" s="962">
        <f>-'Schema SP'!K76</f>
        <v>0</v>
      </c>
      <c r="D49" s="962">
        <v>0</v>
      </c>
      <c r="E49" s="891"/>
    </row>
    <row r="50" spans="1:7">
      <c r="A50" s="897" t="s">
        <v>4778</v>
      </c>
      <c r="B50" s="907" t="s">
        <v>4801</v>
      </c>
      <c r="C50" s="962">
        <v>-791328.04</v>
      </c>
      <c r="D50" s="962">
        <v>2200672</v>
      </c>
      <c r="E50" s="891"/>
    </row>
    <row r="51" spans="1:7">
      <c r="A51" s="895" t="s">
        <v>4778</v>
      </c>
      <c r="B51" s="895" t="s">
        <v>4802</v>
      </c>
      <c r="C51" s="956">
        <f>SUM(C37:C50)</f>
        <v>152756.95999999996</v>
      </c>
      <c r="D51" s="956">
        <v>3719369</v>
      </c>
      <c r="E51" s="900"/>
      <c r="F51" s="909"/>
      <c r="G51" s="901"/>
    </row>
    <row r="52" spans="1:7">
      <c r="A52" s="902" t="s">
        <v>4778</v>
      </c>
      <c r="B52" s="907" t="s">
        <v>4803</v>
      </c>
      <c r="C52" s="965">
        <f>-('Schema SP'!K41+'Schema SP'!K42)</f>
        <v>372441</v>
      </c>
      <c r="D52" s="965">
        <v>227200</v>
      </c>
      <c r="E52" s="891"/>
    </row>
    <row r="53" spans="1:7">
      <c r="A53" s="902" t="s">
        <v>4778</v>
      </c>
      <c r="B53" s="907" t="s">
        <v>4804</v>
      </c>
      <c r="C53" s="965">
        <f>-('Schema SP'!K43+'Schema SP'!K44)</f>
        <v>0</v>
      </c>
      <c r="D53" s="965">
        <v>0</v>
      </c>
      <c r="E53" s="891"/>
    </row>
    <row r="54" spans="1:7">
      <c r="A54" s="895" t="s">
        <v>4778</v>
      </c>
      <c r="B54" s="910" t="s">
        <v>4805</v>
      </c>
      <c r="C54" s="956">
        <f>SUM(C52:C53)</f>
        <v>372441</v>
      </c>
      <c r="D54" s="956">
        <v>227200</v>
      </c>
      <c r="E54" s="891"/>
      <c r="G54" s="901"/>
    </row>
    <row r="55" spans="1:7">
      <c r="A55" s="895" t="s">
        <v>4778</v>
      </c>
      <c r="B55" s="895" t="s">
        <v>4806</v>
      </c>
      <c r="C55" s="956">
        <f>-('Schema SP'!K88+'Schema SP'!K89)</f>
        <v>-21172</v>
      </c>
      <c r="D55" s="956">
        <v>-12406</v>
      </c>
      <c r="E55" s="891"/>
      <c r="G55" s="901"/>
    </row>
    <row r="56" spans="1:7">
      <c r="A56" s="904" t="s">
        <v>4807</v>
      </c>
      <c r="B56" s="904"/>
      <c r="C56" s="966">
        <f>C35+C36+C51+C54+C55+C25</f>
        <v>-7390116.2300000023</v>
      </c>
      <c r="D56" s="966">
        <v>434687.26999999955</v>
      </c>
      <c r="E56" s="891"/>
    </row>
    <row r="57" spans="1:7" ht="15">
      <c r="A57" s="905"/>
      <c r="B57" s="905"/>
      <c r="C57" s="967"/>
      <c r="D57" s="968"/>
      <c r="E57" s="891"/>
    </row>
    <row r="58" spans="1:7">
      <c r="A58" s="893" t="s">
        <v>4808</v>
      </c>
      <c r="B58" s="894"/>
      <c r="C58" s="957"/>
      <c r="D58" s="957"/>
    </row>
    <row r="59" spans="1:7">
      <c r="A59" s="897" t="s">
        <v>4760</v>
      </c>
      <c r="B59" s="898" t="s">
        <v>4809</v>
      </c>
      <c r="C59" s="964"/>
      <c r="D59" s="964"/>
    </row>
    <row r="60" spans="1:7">
      <c r="A60" s="897" t="s">
        <v>4760</v>
      </c>
      <c r="B60" s="898" t="s">
        <v>4810</v>
      </c>
      <c r="C60" s="964"/>
      <c r="D60" s="964"/>
    </row>
    <row r="61" spans="1:7">
      <c r="A61" s="897" t="s">
        <v>4760</v>
      </c>
      <c r="B61" s="898" t="s">
        <v>4811</v>
      </c>
      <c r="C61" s="964"/>
      <c r="D61" s="964"/>
    </row>
    <row r="62" spans="1:7">
      <c r="A62" s="897" t="s">
        <v>4760</v>
      </c>
      <c r="B62" s="898" t="s">
        <v>4812</v>
      </c>
      <c r="C62" s="964"/>
      <c r="D62" s="964"/>
    </row>
    <row r="63" spans="1:7">
      <c r="A63" s="897" t="s">
        <v>4760</v>
      </c>
      <c r="B63" s="898" t="s">
        <v>4813</v>
      </c>
      <c r="C63" s="964"/>
      <c r="D63" s="964"/>
      <c r="E63" s="891"/>
    </row>
    <row r="64" spans="1:7">
      <c r="A64" s="895" t="s">
        <v>4760</v>
      </c>
      <c r="B64" s="910" t="s">
        <v>4814</v>
      </c>
      <c r="C64" s="956">
        <f>SUM(C59:C63)</f>
        <v>0</v>
      </c>
      <c r="D64" s="956">
        <v>0</v>
      </c>
    </row>
    <row r="65" spans="1:5">
      <c r="A65" s="897" t="s">
        <v>4753</v>
      </c>
      <c r="B65" s="898" t="s">
        <v>4815</v>
      </c>
      <c r="C65" s="964"/>
      <c r="D65" s="964"/>
    </row>
    <row r="66" spans="1:5">
      <c r="A66" s="897" t="s">
        <v>4753</v>
      </c>
      <c r="B66" s="898" t="s">
        <v>4816</v>
      </c>
      <c r="C66" s="964"/>
      <c r="D66" s="964"/>
    </row>
    <row r="67" spans="1:5">
      <c r="A67" s="897" t="s">
        <v>4753</v>
      </c>
      <c r="B67" s="898" t="s">
        <v>4817</v>
      </c>
      <c r="C67" s="964"/>
      <c r="D67" s="964"/>
    </row>
    <row r="68" spans="1:5">
      <c r="A68" s="897" t="s">
        <v>4753</v>
      </c>
      <c r="B68" s="898" t="s">
        <v>4818</v>
      </c>
      <c r="C68" s="964"/>
      <c r="D68" s="964"/>
    </row>
    <row r="69" spans="1:5">
      <c r="A69" s="897" t="s">
        <v>4753</v>
      </c>
      <c r="B69" s="898" t="s">
        <v>4819</v>
      </c>
      <c r="C69" s="964"/>
      <c r="D69" s="964"/>
      <c r="E69" s="891"/>
    </row>
    <row r="70" spans="1:5">
      <c r="A70" s="895" t="s">
        <v>4753</v>
      </c>
      <c r="B70" s="910" t="s">
        <v>4820</v>
      </c>
      <c r="C70" s="956">
        <f>SUM(C65:C69)</f>
        <v>0</v>
      </c>
      <c r="D70" s="956">
        <v>0</v>
      </c>
    </row>
    <row r="71" spans="1:5">
      <c r="A71" s="897" t="s">
        <v>4760</v>
      </c>
      <c r="B71" s="898" t="s">
        <v>4821</v>
      </c>
      <c r="C71" s="964"/>
      <c r="D71" s="964"/>
    </row>
    <row r="72" spans="1:5">
      <c r="A72" s="897" t="s">
        <v>4760</v>
      </c>
      <c r="B72" s="898" t="s">
        <v>4822</v>
      </c>
      <c r="C72" s="964">
        <v>0</v>
      </c>
      <c r="D72" s="964">
        <v>-2188274.4900000002</v>
      </c>
    </row>
    <row r="73" spans="1:5">
      <c r="A73" s="897" t="s">
        <v>4760</v>
      </c>
      <c r="B73" s="898" t="s">
        <v>4823</v>
      </c>
      <c r="C73" s="964">
        <v>0</v>
      </c>
      <c r="D73" s="964">
        <v>-520372.56</v>
      </c>
    </row>
    <row r="74" spans="1:5">
      <c r="A74" s="897" t="s">
        <v>4760</v>
      </c>
      <c r="B74" s="898" t="s">
        <v>4824</v>
      </c>
      <c r="C74" s="964">
        <v>-1257279</v>
      </c>
      <c r="D74" s="964">
        <v>-2031661.24</v>
      </c>
    </row>
    <row r="75" spans="1:5">
      <c r="A75" s="897" t="s">
        <v>4760</v>
      </c>
      <c r="B75" s="898" t="s">
        <v>4825</v>
      </c>
      <c r="C75" s="964">
        <v>-75530.36</v>
      </c>
      <c r="D75" s="964">
        <v>-222977.42</v>
      </c>
    </row>
    <row r="76" spans="1:5">
      <c r="A76" s="897" t="s">
        <v>4760</v>
      </c>
      <c r="B76" s="898" t="s">
        <v>4826</v>
      </c>
      <c r="C76" s="964"/>
      <c r="D76" s="964"/>
    </row>
    <row r="77" spans="1:5">
      <c r="A77" s="897" t="s">
        <v>4760</v>
      </c>
      <c r="B77" s="898" t="s">
        <v>4827</v>
      </c>
      <c r="C77" s="964">
        <v>-179924.14</v>
      </c>
      <c r="D77" s="964">
        <v>-260568.6</v>
      </c>
    </row>
    <row r="78" spans="1:5">
      <c r="A78" s="897" t="s">
        <v>4760</v>
      </c>
      <c r="B78" s="898" t="s">
        <v>4828</v>
      </c>
      <c r="C78" s="964">
        <v>-2465145.02</v>
      </c>
      <c r="D78" s="964">
        <v>-2000251.08</v>
      </c>
      <c r="E78" s="891"/>
    </row>
    <row r="79" spans="1:5">
      <c r="A79" s="895" t="s">
        <v>4760</v>
      </c>
      <c r="B79" s="910" t="s">
        <v>4829</v>
      </c>
      <c r="C79" s="956">
        <f>SUM(C71:C78)</f>
        <v>-3977878.52</v>
      </c>
      <c r="D79" s="956">
        <v>-7224105.3899999997</v>
      </c>
    </row>
    <row r="80" spans="1:5">
      <c r="A80" s="897" t="s">
        <v>4753</v>
      </c>
      <c r="B80" s="898" t="s">
        <v>4830</v>
      </c>
      <c r="C80" s="964"/>
      <c r="D80" s="964"/>
    </row>
    <row r="81" spans="1:5">
      <c r="A81" s="897" t="s">
        <v>4753</v>
      </c>
      <c r="B81" s="898" t="s">
        <v>4831</v>
      </c>
      <c r="C81" s="964"/>
      <c r="D81" s="964"/>
    </row>
    <row r="82" spans="1:5">
      <c r="A82" s="897" t="s">
        <v>4753</v>
      </c>
      <c r="B82" s="898" t="s">
        <v>4832</v>
      </c>
      <c r="C82" s="964"/>
      <c r="D82" s="964"/>
    </row>
    <row r="83" spans="1:5">
      <c r="A83" s="897" t="s">
        <v>4753</v>
      </c>
      <c r="B83" s="898" t="s">
        <v>4833</v>
      </c>
      <c r="C83" s="964">
        <v>6741.52</v>
      </c>
      <c r="D83" s="964">
        <v>2357</v>
      </c>
    </row>
    <row r="84" spans="1:5">
      <c r="A84" s="897" t="s">
        <v>4753</v>
      </c>
      <c r="B84" s="898" t="s">
        <v>4834</v>
      </c>
      <c r="C84" s="964"/>
      <c r="D84" s="964">
        <v>0</v>
      </c>
    </row>
    <row r="85" spans="1:5">
      <c r="A85" s="897" t="s">
        <v>4753</v>
      </c>
      <c r="B85" s="898" t="s">
        <v>4835</v>
      </c>
      <c r="C85" s="964"/>
      <c r="D85" s="964"/>
    </row>
    <row r="86" spans="1:5">
      <c r="A86" s="897" t="s">
        <v>4753</v>
      </c>
      <c r="B86" s="898" t="s">
        <v>4836</v>
      </c>
      <c r="C86" s="964"/>
      <c r="D86" s="964"/>
      <c r="E86" s="891"/>
    </row>
    <row r="87" spans="1:5">
      <c r="A87" s="895" t="s">
        <v>4753</v>
      </c>
      <c r="B87" s="910" t="s">
        <v>4837</v>
      </c>
      <c r="C87" s="956">
        <f>SUM(C80:C86)</f>
        <v>6741.52</v>
      </c>
      <c r="D87" s="956">
        <v>2357</v>
      </c>
    </row>
    <row r="88" spans="1:5">
      <c r="A88" s="897" t="s">
        <v>4760</v>
      </c>
      <c r="B88" s="898" t="s">
        <v>4838</v>
      </c>
      <c r="C88" s="964"/>
      <c r="D88" s="964"/>
    </row>
    <row r="89" spans="1:5">
      <c r="A89" s="897" t="s">
        <v>4760</v>
      </c>
      <c r="B89" s="898" t="s">
        <v>4839</v>
      </c>
      <c r="C89" s="964"/>
      <c r="D89" s="964"/>
      <c r="E89" s="891"/>
    </row>
    <row r="90" spans="1:5">
      <c r="A90" s="895" t="s">
        <v>4760</v>
      </c>
      <c r="B90" s="910" t="s">
        <v>4840</v>
      </c>
      <c r="C90" s="956">
        <f>SUM(C88:C89)</f>
        <v>0</v>
      </c>
      <c r="D90" s="956">
        <v>0</v>
      </c>
    </row>
    <row r="91" spans="1:5">
      <c r="A91" s="897" t="s">
        <v>4753</v>
      </c>
      <c r="B91" s="898" t="s">
        <v>4841</v>
      </c>
      <c r="C91" s="964">
        <v>113631</v>
      </c>
      <c r="D91" s="964"/>
    </row>
    <row r="92" spans="1:5">
      <c r="A92" s="897" t="s">
        <v>4753</v>
      </c>
      <c r="B92" s="898" t="s">
        <v>4842</v>
      </c>
      <c r="C92" s="964"/>
      <c r="D92" s="964"/>
      <c r="E92" s="891"/>
    </row>
    <row r="93" spans="1:5">
      <c r="A93" s="895" t="s">
        <v>4753</v>
      </c>
      <c r="B93" s="910" t="s">
        <v>4843</v>
      </c>
      <c r="C93" s="956">
        <f>SUM(C91:C92)</f>
        <v>113631</v>
      </c>
      <c r="D93" s="956">
        <v>0</v>
      </c>
    </row>
    <row r="94" spans="1:5">
      <c r="A94" s="895" t="s">
        <v>4769</v>
      </c>
      <c r="B94" s="910" t="s">
        <v>4844</v>
      </c>
      <c r="C94" s="969"/>
      <c r="D94" s="969"/>
      <c r="E94" s="900"/>
    </row>
    <row r="95" spans="1:5">
      <c r="A95" s="904" t="s">
        <v>4845</v>
      </c>
      <c r="B95" s="904"/>
      <c r="C95" s="966">
        <f>C64+C70+C79+C87+C90+C93+C94</f>
        <v>-3857506</v>
      </c>
      <c r="D95" s="966">
        <v>-7221748.3899999997</v>
      </c>
      <c r="E95" s="900"/>
    </row>
    <row r="96" spans="1:5" ht="15">
      <c r="A96" s="905"/>
      <c r="B96" s="905"/>
      <c r="C96" s="967"/>
      <c r="D96" s="968"/>
      <c r="E96" s="891"/>
    </row>
    <row r="97" spans="1:6">
      <c r="A97" s="893" t="s">
        <v>4846</v>
      </c>
      <c r="B97" s="894"/>
      <c r="C97" s="957"/>
      <c r="D97" s="958"/>
      <c r="E97" s="891"/>
    </row>
    <row r="98" spans="1:6">
      <c r="A98" s="897" t="s">
        <v>4778</v>
      </c>
      <c r="B98" s="897" t="s">
        <v>4847</v>
      </c>
      <c r="C98" s="962">
        <f>-('Schema SP'!K51+'Schema SP'!K56)</f>
        <v>0</v>
      </c>
      <c r="D98" s="962">
        <v>-635403</v>
      </c>
      <c r="E98" s="891"/>
    </row>
    <row r="99" spans="1:6">
      <c r="A99" s="897" t="s">
        <v>4778</v>
      </c>
      <c r="B99" s="897" t="s">
        <v>4848</v>
      </c>
      <c r="C99" s="962">
        <f>-'Schema SP'!K67</f>
        <v>1434923</v>
      </c>
      <c r="D99" s="962">
        <v>-1452440</v>
      </c>
      <c r="E99" s="891"/>
    </row>
    <row r="100" spans="1:6">
      <c r="A100" s="897" t="s">
        <v>4778</v>
      </c>
      <c r="B100" s="897" t="s">
        <v>4849</v>
      </c>
      <c r="C100" s="962">
        <f>-'Schema SP'!K68</f>
        <v>0</v>
      </c>
      <c r="D100" s="962">
        <v>0</v>
      </c>
      <c r="E100" s="891"/>
    </row>
    <row r="101" spans="1:6">
      <c r="A101" s="897" t="s">
        <v>4778</v>
      </c>
      <c r="B101" s="897" t="s">
        <v>4850</v>
      </c>
      <c r="C101" s="962">
        <f>-'Schema SP'!K69</f>
        <v>0</v>
      </c>
      <c r="D101" s="962">
        <v>0</v>
      </c>
      <c r="E101" s="891"/>
    </row>
    <row r="102" spans="1:6">
      <c r="A102" s="897" t="s">
        <v>4778</v>
      </c>
      <c r="B102" s="897" t="s">
        <v>4851</v>
      </c>
      <c r="C102" s="962">
        <f>-'Schema SP'!K70</f>
        <v>0</v>
      </c>
      <c r="D102" s="962">
        <v>0</v>
      </c>
      <c r="E102" s="891"/>
      <c r="F102" s="900"/>
    </row>
    <row r="103" spans="1:6">
      <c r="A103" s="895" t="s">
        <v>4753</v>
      </c>
      <c r="B103" s="895" t="s">
        <v>4852</v>
      </c>
      <c r="C103" s="956">
        <f>SUM(C98:C102)</f>
        <v>1434923</v>
      </c>
      <c r="D103" s="956">
        <v>-2087843</v>
      </c>
      <c r="E103" s="900"/>
    </row>
    <row r="104" spans="1:6">
      <c r="A104" s="897" t="s">
        <v>4753</v>
      </c>
      <c r="B104" s="897" t="s">
        <v>4853</v>
      </c>
      <c r="C104" s="962">
        <f>SUM('Alimentazione SP P'!I6:I18)+'Alimentazione SP P'!I26+'Alimentazione SP P'!I27-SUM('Alimentazione SP P'!J6:J18)-'Alimentazione SP P'!J26-'Alimentazione SP P'!J27-'Rendiconto finanziario'!C10</f>
        <v>1743875.7900000019</v>
      </c>
      <c r="D104" s="962">
        <v>9001706.9299999997</v>
      </c>
      <c r="E104" s="891"/>
    </row>
    <row r="105" spans="1:6">
      <c r="A105" s="897" t="s">
        <v>4778</v>
      </c>
      <c r="B105" s="897" t="s">
        <v>4854</v>
      </c>
      <c r="C105" s="962">
        <f>'Schema SP'!K123-'Schema SP'!K108-'Rendiconto finanziario'!C104-'Rendiconto finanziario'!C4-'Rendiconto finanziario'!C10</f>
        <v>-100998.67000000179</v>
      </c>
      <c r="D105" s="962">
        <v>-285720</v>
      </c>
      <c r="E105" s="891"/>
    </row>
    <row r="106" spans="1:6">
      <c r="A106" s="895" t="s">
        <v>4778</v>
      </c>
      <c r="B106" s="910" t="s">
        <v>4855</v>
      </c>
      <c r="C106" s="956">
        <f>SUM(C104:C105)</f>
        <v>1642877.12</v>
      </c>
      <c r="D106" s="956">
        <v>8715986.9299999997</v>
      </c>
      <c r="E106" s="891"/>
      <c r="F106" s="900"/>
    </row>
    <row r="107" spans="1:6">
      <c r="A107" s="895" t="s">
        <v>4778</v>
      </c>
      <c r="B107" s="911" t="s">
        <v>4856</v>
      </c>
      <c r="C107" s="956">
        <f>'Schema SP'!K150</f>
        <v>0</v>
      </c>
      <c r="D107" s="956">
        <v>0</v>
      </c>
      <c r="E107" s="891"/>
    </row>
    <row r="108" spans="1:6">
      <c r="A108" s="897" t="s">
        <v>4753</v>
      </c>
      <c r="B108" s="897" t="s">
        <v>4857</v>
      </c>
      <c r="C108" s="964"/>
      <c r="D108" s="964"/>
    </row>
    <row r="109" spans="1:6">
      <c r="A109" s="897" t="s">
        <v>4760</v>
      </c>
      <c r="B109" s="897" t="s">
        <v>4858</v>
      </c>
      <c r="C109" s="962">
        <f>-C108+'Schema SP'!K137</f>
        <v>0</v>
      </c>
      <c r="D109" s="962">
        <v>0</v>
      </c>
      <c r="E109" s="891"/>
    </row>
    <row r="110" spans="1:6">
      <c r="A110" s="904" t="s">
        <v>4859</v>
      </c>
      <c r="B110" s="904"/>
      <c r="C110" s="966">
        <f>+C103+C106+C107+C108+C109</f>
        <v>3077800.12</v>
      </c>
      <c r="D110" s="966">
        <v>6628143.9299999997</v>
      </c>
      <c r="E110" s="891"/>
    </row>
    <row r="111" spans="1:6">
      <c r="A111" s="897"/>
      <c r="B111" s="897"/>
      <c r="C111" s="970"/>
      <c r="D111" s="965"/>
      <c r="E111" s="891"/>
    </row>
    <row r="112" spans="1:6">
      <c r="A112" s="893" t="s">
        <v>4860</v>
      </c>
      <c r="B112" s="894"/>
      <c r="C112" s="958">
        <f>+C56+C95+C110</f>
        <v>-8169822.1100000022</v>
      </c>
      <c r="D112" s="958">
        <v>-158917.19000000041</v>
      </c>
      <c r="E112" s="903"/>
    </row>
    <row r="113" spans="1:5">
      <c r="A113" s="910" t="s">
        <v>4861</v>
      </c>
      <c r="B113" s="912"/>
      <c r="C113" s="971">
        <f>'Schema SP'!I81-'Schema SP'!J81</f>
        <v>-8169821.6000000015</v>
      </c>
      <c r="D113" s="971">
        <v>-158917</v>
      </c>
      <c r="E113" s="903"/>
    </row>
    <row r="114" spans="1:5">
      <c r="A114" s="897"/>
      <c r="B114" s="913"/>
      <c r="C114" s="955"/>
      <c r="D114" s="956"/>
      <c r="E114" s="891"/>
    </row>
    <row r="115" spans="1:5">
      <c r="A115" s="914" t="s">
        <v>4862</v>
      </c>
      <c r="B115" s="915"/>
      <c r="C115" s="972">
        <f>C112-C113</f>
        <v>-0.51000000070780516</v>
      </c>
      <c r="D115" s="972">
        <f>D112-D113</f>
        <v>-0.19000000040978193</v>
      </c>
      <c r="E115" s="900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10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13</vt:i4>
      </vt:variant>
    </vt:vector>
  </HeadingPairs>
  <TitlesOfParts>
    <vt:vector size="23" baseType="lpstr">
      <vt:lpstr>Schema CE</vt:lpstr>
      <vt:lpstr>CE Min</vt:lpstr>
      <vt:lpstr>Alimentazione CE Costi</vt:lpstr>
      <vt:lpstr>Alimentazione CE Ricavi</vt:lpstr>
      <vt:lpstr>Schema SP</vt:lpstr>
      <vt:lpstr>SP Min</vt:lpstr>
      <vt:lpstr>SP Attivo Alim</vt:lpstr>
      <vt:lpstr>Alimentazione SP P</vt:lpstr>
      <vt:lpstr>Rendiconto finanziario</vt:lpstr>
      <vt:lpstr>ce art. 44</vt:lpstr>
      <vt:lpstr>'ce art. 44'!Area_stampa</vt:lpstr>
      <vt:lpstr>'CE Min'!Area_stampa</vt:lpstr>
      <vt:lpstr>'Rendiconto finanziario'!Area_stampa</vt:lpstr>
      <vt:lpstr>'Schema SP'!Area_stampa</vt:lpstr>
      <vt:lpstr>'SP Min'!Area_stampa</vt:lpstr>
      <vt:lpstr>'Alimentazione CE Costi'!Titoli_stampa</vt:lpstr>
      <vt:lpstr>'Alimentazione CE Ricavi'!Titoli_stampa</vt:lpstr>
      <vt:lpstr>'Alimentazione SP P'!Titoli_stampa</vt:lpstr>
      <vt:lpstr>'CE Min'!Titoli_stampa</vt:lpstr>
      <vt:lpstr>'Schema CE'!Titoli_stampa</vt:lpstr>
      <vt:lpstr>'Schema SP'!Titoli_stampa</vt:lpstr>
      <vt:lpstr>'SP Attivo Alim'!Titoli_stampa</vt:lpstr>
      <vt:lpstr>'SP Min'!Titoli_stampa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Marina Seganti</cp:lastModifiedBy>
  <cp:lastPrinted>2026-05-07T09:32:58Z</cp:lastPrinted>
  <dcterms:created xsi:type="dcterms:W3CDTF">2019-07-05T08:06:15Z</dcterms:created>
  <dcterms:modified xsi:type="dcterms:W3CDTF">2026-05-07T13:39:15Z</dcterms:modified>
</cp:coreProperties>
</file>